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LDER\FAQ\"/>
    </mc:Choice>
  </mc:AlternateContent>
  <bookViews>
    <workbookView xWindow="0" yWindow="0" windowWidth="20490" windowHeight="7905" tabRatio="869"/>
  </bookViews>
  <sheets>
    <sheet name="Renew Regular PM12" sheetId="1" r:id="rId1"/>
    <sheet name="Renew Regular PM6" sheetId="2" r:id="rId2"/>
    <sheet name="Renew Regular PM3" sheetId="3" r:id="rId3"/>
    <sheet name="Renew PM Retensi" sheetId="4" r:id="rId4"/>
    <sheet name="Downgrade non tiering Regular" sheetId="5" r:id="rId5"/>
    <sheet name="Renew UKM Villa tarif per STB" sheetId="6" r:id="rId6"/>
    <sheet name="Renew RD &amp; UKM tarif retail" sheetId="7" r:id="rId7"/>
    <sheet name="Renew PM DTH UKM SME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E24" i="8"/>
  <c r="D24" i="8"/>
  <c r="F23" i="8"/>
  <c r="F28" i="8" s="1"/>
  <c r="E23" i="8"/>
  <c r="E28" i="8" s="1"/>
  <c r="D23" i="8"/>
  <c r="D28" i="8" s="1"/>
  <c r="F16" i="8"/>
  <c r="E16" i="8"/>
  <c r="D16" i="8"/>
  <c r="S24" i="8" l="1"/>
  <c r="S23" i="8"/>
  <c r="S28" i="8" s="1"/>
  <c r="S16" i="8"/>
  <c r="R24" i="8"/>
  <c r="R23" i="8"/>
  <c r="R28" i="8" l="1"/>
  <c r="R16" i="8"/>
  <c r="B16" i="8"/>
  <c r="B88" i="7"/>
  <c r="F84" i="7"/>
  <c r="E84" i="7"/>
  <c r="D84" i="7"/>
  <c r="F83" i="7"/>
  <c r="F88" i="7" s="1"/>
  <c r="E83" i="7"/>
  <c r="E88" i="7" s="1"/>
  <c r="D83" i="7"/>
  <c r="D88" i="7" s="1"/>
  <c r="E76" i="7"/>
  <c r="D76" i="7"/>
  <c r="F69" i="7"/>
  <c r="E69" i="7"/>
  <c r="D69" i="7"/>
  <c r="B69" i="7"/>
  <c r="F68" i="7"/>
  <c r="F76" i="7" s="1"/>
  <c r="E68" i="7"/>
  <c r="D68" i="7"/>
  <c r="B68" i="7"/>
  <c r="F54" i="7"/>
  <c r="E54" i="7"/>
  <c r="D54" i="7"/>
  <c r="F53" i="7"/>
  <c r="F58" i="7" s="1"/>
  <c r="E53" i="7"/>
  <c r="E58" i="7" s="1"/>
  <c r="D53" i="7"/>
  <c r="D58" i="7" s="1"/>
  <c r="F39" i="7"/>
  <c r="E39" i="7"/>
  <c r="D39" i="7"/>
  <c r="B39" i="7"/>
  <c r="F38" i="7"/>
  <c r="F46" i="7" s="1"/>
  <c r="E38" i="7"/>
  <c r="E46" i="7" s="1"/>
  <c r="D38" i="7"/>
  <c r="D46" i="7" s="1"/>
  <c r="B38" i="7"/>
  <c r="B46" i="7" s="1"/>
  <c r="F24" i="7"/>
  <c r="E24" i="7"/>
  <c r="D24" i="7"/>
  <c r="F23" i="7"/>
  <c r="F28" i="7" s="1"/>
  <c r="E23" i="7"/>
  <c r="E28" i="7" s="1"/>
  <c r="D23" i="7"/>
  <c r="D28" i="7" s="1"/>
  <c r="F9" i="7"/>
  <c r="E9" i="7"/>
  <c r="D9" i="7"/>
  <c r="B9" i="7"/>
  <c r="F8" i="7"/>
  <c r="F16" i="7" s="1"/>
  <c r="E8" i="7"/>
  <c r="E16" i="7" s="1"/>
  <c r="D8" i="7"/>
  <c r="D16" i="7" s="1"/>
  <c r="B8" i="7"/>
  <c r="B16" i="7" s="1"/>
  <c r="G15" i="6"/>
  <c r="E15" i="6"/>
  <c r="G14" i="6"/>
  <c r="E14" i="6"/>
  <c r="G13" i="6"/>
  <c r="E13" i="6"/>
  <c r="E9" i="6"/>
  <c r="E8" i="6"/>
  <c r="E7" i="6"/>
  <c r="E6" i="6"/>
  <c r="I22" i="5"/>
  <c r="H22" i="5"/>
  <c r="F22" i="5"/>
  <c r="E22" i="5"/>
  <c r="I21" i="5"/>
  <c r="H21" i="5"/>
  <c r="F21" i="5"/>
  <c r="E21" i="5"/>
  <c r="I20" i="5"/>
  <c r="H20" i="5"/>
  <c r="F20" i="5"/>
  <c r="E20" i="5"/>
  <c r="I19" i="5"/>
  <c r="H19" i="5"/>
  <c r="F19" i="5"/>
  <c r="E19" i="5"/>
  <c r="I18" i="5"/>
  <c r="H18" i="5"/>
  <c r="F18" i="5"/>
  <c r="E18" i="5"/>
  <c r="H17" i="5"/>
  <c r="E17" i="5"/>
  <c r="B93" i="4"/>
  <c r="B88" i="4"/>
  <c r="E87" i="4"/>
  <c r="E93" i="4" s="1"/>
  <c r="D87" i="4"/>
  <c r="D88" i="4" s="1"/>
  <c r="B80" i="4"/>
  <c r="E70" i="4"/>
  <c r="E80" i="4" s="1"/>
  <c r="D70" i="4"/>
  <c r="D71" i="4" s="1"/>
  <c r="B59" i="4"/>
  <c r="F55" i="4"/>
  <c r="D55" i="4"/>
  <c r="B55" i="4"/>
  <c r="F54" i="4"/>
  <c r="F59" i="4" s="1"/>
  <c r="E54" i="4"/>
  <c r="E59" i="4" s="1"/>
  <c r="D54" i="4"/>
  <c r="D59" i="4" s="1"/>
  <c r="B47" i="4"/>
  <c r="F40" i="4"/>
  <c r="F39" i="4"/>
  <c r="F47" i="4" s="1"/>
  <c r="E39" i="4"/>
  <c r="E47" i="4" s="1"/>
  <c r="D39" i="4"/>
  <c r="D47" i="4" s="1"/>
  <c r="E29" i="4"/>
  <c r="B29" i="4"/>
  <c r="F25" i="4"/>
  <c r="E25" i="4"/>
  <c r="D25" i="4"/>
  <c r="F24" i="4"/>
  <c r="F29" i="4" s="1"/>
  <c r="E24" i="4"/>
  <c r="D24" i="4"/>
  <c r="D29" i="4" s="1"/>
  <c r="B17" i="4"/>
  <c r="F10" i="4"/>
  <c r="E10" i="4"/>
  <c r="D10" i="4"/>
  <c r="F9" i="4"/>
  <c r="F17" i="4" s="1"/>
  <c r="E9" i="4"/>
  <c r="E17" i="4" s="1"/>
  <c r="D9" i="4"/>
  <c r="D17" i="4" s="1"/>
  <c r="B149" i="3"/>
  <c r="F145" i="3"/>
  <c r="E145" i="3"/>
  <c r="D145" i="3"/>
  <c r="F144" i="3"/>
  <c r="F149" i="3" s="1"/>
  <c r="E144" i="3"/>
  <c r="E149" i="3" s="1"/>
  <c r="D144" i="3"/>
  <c r="D149" i="3" s="1"/>
  <c r="F137" i="3"/>
  <c r="E137" i="3"/>
  <c r="D137" i="3"/>
  <c r="B137" i="3"/>
  <c r="F130" i="3"/>
  <c r="E130" i="3"/>
  <c r="D130" i="3"/>
  <c r="F119" i="3"/>
  <c r="B119" i="3"/>
  <c r="F115" i="3"/>
  <c r="E115" i="3"/>
  <c r="D115" i="3"/>
  <c r="F114" i="3"/>
  <c r="E114" i="3"/>
  <c r="E119" i="3" s="1"/>
  <c r="D114" i="3"/>
  <c r="D119" i="3" s="1"/>
  <c r="B114" i="3"/>
  <c r="B107" i="3"/>
  <c r="D100" i="3"/>
  <c r="F99" i="3"/>
  <c r="F107" i="3" s="1"/>
  <c r="E99" i="3"/>
  <c r="E107" i="3" s="1"/>
  <c r="D99" i="3"/>
  <c r="D107" i="3" s="1"/>
  <c r="F85" i="3"/>
  <c r="E85" i="3"/>
  <c r="D85" i="3"/>
  <c r="F84" i="3"/>
  <c r="F89" i="3" s="1"/>
  <c r="E84" i="3"/>
  <c r="E89" i="3" s="1"/>
  <c r="D84" i="3"/>
  <c r="D89" i="3" s="1"/>
  <c r="F77" i="3"/>
  <c r="F70" i="3"/>
  <c r="E70" i="3"/>
  <c r="D70" i="3"/>
  <c r="B70" i="3"/>
  <c r="E69" i="3"/>
  <c r="E77" i="3" s="1"/>
  <c r="D69" i="3"/>
  <c r="D77" i="3" s="1"/>
  <c r="B69" i="3"/>
  <c r="B77" i="3" s="1"/>
  <c r="F55" i="3"/>
  <c r="E55" i="3"/>
  <c r="D55" i="3"/>
  <c r="F54" i="3"/>
  <c r="F59" i="3" s="1"/>
  <c r="E54" i="3"/>
  <c r="E59" i="3" s="1"/>
  <c r="D54" i="3"/>
  <c r="D59" i="3" s="1"/>
  <c r="F40" i="3"/>
  <c r="E40" i="3"/>
  <c r="D40" i="3"/>
  <c r="B40" i="3"/>
  <c r="F39" i="3"/>
  <c r="F47" i="3" s="1"/>
  <c r="E39" i="3"/>
  <c r="E47" i="3" s="1"/>
  <c r="D39" i="3"/>
  <c r="D47" i="3" s="1"/>
  <c r="B39" i="3"/>
  <c r="B47" i="3" s="1"/>
  <c r="F25" i="3"/>
  <c r="E25" i="3"/>
  <c r="D25" i="3"/>
  <c r="F24" i="3"/>
  <c r="F29" i="3" s="1"/>
  <c r="E24" i="3"/>
  <c r="E29" i="3" s="1"/>
  <c r="D24" i="3"/>
  <c r="D29" i="3" s="1"/>
  <c r="B17" i="3"/>
  <c r="F10" i="3"/>
  <c r="E10" i="3"/>
  <c r="D10" i="3"/>
  <c r="F9" i="3"/>
  <c r="F17" i="3" s="1"/>
  <c r="E9" i="3"/>
  <c r="E17" i="3" s="1"/>
  <c r="D9" i="3"/>
  <c r="D17" i="3" s="1"/>
  <c r="B359" i="2"/>
  <c r="F355" i="2"/>
  <c r="E355" i="2"/>
  <c r="D355" i="2"/>
  <c r="F354" i="2"/>
  <c r="F359" i="2" s="1"/>
  <c r="E354" i="2"/>
  <c r="E359" i="2" s="1"/>
  <c r="D354" i="2"/>
  <c r="D359" i="2" s="1"/>
  <c r="F340" i="2"/>
  <c r="E340" i="2"/>
  <c r="D340" i="2"/>
  <c r="F339" i="2"/>
  <c r="F347" i="2" s="1"/>
  <c r="E339" i="2"/>
  <c r="E347" i="2" s="1"/>
  <c r="D339" i="2"/>
  <c r="D347" i="2" s="1"/>
  <c r="B329" i="2"/>
  <c r="F325" i="2"/>
  <c r="E325" i="2"/>
  <c r="D325" i="2"/>
  <c r="F324" i="2"/>
  <c r="F329" i="2" s="1"/>
  <c r="E324" i="2"/>
  <c r="E329" i="2" s="1"/>
  <c r="D324" i="2"/>
  <c r="D329" i="2" s="1"/>
  <c r="F310" i="2"/>
  <c r="E310" i="2"/>
  <c r="D310" i="2"/>
  <c r="F309" i="2"/>
  <c r="F317" i="2" s="1"/>
  <c r="E309" i="2"/>
  <c r="E317" i="2" s="1"/>
  <c r="D309" i="2"/>
  <c r="D317" i="2" s="1"/>
  <c r="B299" i="2"/>
  <c r="E295" i="2"/>
  <c r="D295" i="2"/>
  <c r="E294" i="2"/>
  <c r="E299" i="2" s="1"/>
  <c r="D294" i="2"/>
  <c r="D299" i="2" s="1"/>
  <c r="E280" i="2"/>
  <c r="D280" i="2"/>
  <c r="E279" i="2"/>
  <c r="E287" i="2" s="1"/>
  <c r="D279" i="2"/>
  <c r="D287" i="2" s="1"/>
  <c r="B269" i="2"/>
  <c r="F265" i="2"/>
  <c r="E265" i="2"/>
  <c r="D265" i="2"/>
  <c r="F264" i="2"/>
  <c r="F269" i="2" s="1"/>
  <c r="E264" i="2"/>
  <c r="E269" i="2" s="1"/>
  <c r="D264" i="2"/>
  <c r="D269" i="2" s="1"/>
  <c r="F250" i="2"/>
  <c r="E250" i="2"/>
  <c r="D250" i="2"/>
  <c r="F249" i="2"/>
  <c r="F257" i="2" s="1"/>
  <c r="E249" i="2"/>
  <c r="E257" i="2" s="1"/>
  <c r="D249" i="2"/>
  <c r="D257" i="2" s="1"/>
  <c r="B239" i="2"/>
  <c r="E235" i="2"/>
  <c r="D235" i="2"/>
  <c r="F234" i="2"/>
  <c r="F239" i="2" s="1"/>
  <c r="E234" i="2"/>
  <c r="E239" i="2" s="1"/>
  <c r="D234" i="2"/>
  <c r="D239" i="2" s="1"/>
  <c r="B227" i="2"/>
  <c r="F220" i="2"/>
  <c r="E220" i="2"/>
  <c r="D220" i="2"/>
  <c r="F219" i="2"/>
  <c r="F227" i="2" s="1"/>
  <c r="E219" i="2"/>
  <c r="E227" i="2" s="1"/>
  <c r="D219" i="2"/>
  <c r="D227" i="2" s="1"/>
  <c r="B209" i="2"/>
  <c r="E205" i="2"/>
  <c r="D205" i="2"/>
  <c r="F204" i="2"/>
  <c r="F209" i="2" s="1"/>
  <c r="E204" i="2"/>
  <c r="E209" i="2" s="1"/>
  <c r="D204" i="2"/>
  <c r="D209" i="2" s="1"/>
  <c r="F190" i="2"/>
  <c r="E190" i="2"/>
  <c r="D190" i="2"/>
  <c r="F189" i="2"/>
  <c r="F197" i="2" s="1"/>
  <c r="E189" i="2"/>
  <c r="E197" i="2" s="1"/>
  <c r="D189" i="2"/>
  <c r="D197" i="2" s="1"/>
  <c r="B179" i="2"/>
  <c r="G175" i="2"/>
  <c r="F175" i="2"/>
  <c r="E175" i="2"/>
  <c r="D175" i="2"/>
  <c r="G174" i="2"/>
  <c r="G179" i="2" s="1"/>
  <c r="F174" i="2"/>
  <c r="F179" i="2" s="1"/>
  <c r="E174" i="2"/>
  <c r="E179" i="2" s="1"/>
  <c r="D174" i="2"/>
  <c r="D179" i="2" s="1"/>
  <c r="G160" i="2"/>
  <c r="F160" i="2"/>
  <c r="E160" i="2"/>
  <c r="D160" i="2"/>
  <c r="G159" i="2"/>
  <c r="G167" i="2" s="1"/>
  <c r="F159" i="2"/>
  <c r="F167" i="2" s="1"/>
  <c r="E159" i="2"/>
  <c r="E167" i="2" s="1"/>
  <c r="D159" i="2"/>
  <c r="D167" i="2" s="1"/>
  <c r="F145" i="2"/>
  <c r="E145" i="2"/>
  <c r="D145" i="2"/>
  <c r="F144" i="2"/>
  <c r="F149" i="2" s="1"/>
  <c r="E144" i="2"/>
  <c r="E149" i="2" s="1"/>
  <c r="D144" i="2"/>
  <c r="D149" i="2" s="1"/>
  <c r="B137" i="2"/>
  <c r="F130" i="2"/>
  <c r="E130" i="2"/>
  <c r="D130" i="2"/>
  <c r="F129" i="2"/>
  <c r="F137" i="2" s="1"/>
  <c r="E129" i="2"/>
  <c r="E137" i="2" s="1"/>
  <c r="D129" i="2"/>
  <c r="D137" i="2" s="1"/>
  <c r="B119" i="2"/>
  <c r="D117" i="2"/>
  <c r="F115" i="2"/>
  <c r="E115" i="2"/>
  <c r="D115" i="2"/>
  <c r="F114" i="2"/>
  <c r="F119" i="2" s="1"/>
  <c r="E114" i="2"/>
  <c r="E119" i="2" s="1"/>
  <c r="D114" i="2"/>
  <c r="D119" i="2" s="1"/>
  <c r="B107" i="2"/>
  <c r="F100" i="2"/>
  <c r="E100" i="2"/>
  <c r="D100" i="2"/>
  <c r="F99" i="2"/>
  <c r="F107" i="2" s="1"/>
  <c r="E99" i="2"/>
  <c r="E107" i="2" s="1"/>
  <c r="D99" i="2"/>
  <c r="D107" i="2" s="1"/>
  <c r="B89" i="2"/>
  <c r="D88" i="2"/>
  <c r="G85" i="2"/>
  <c r="F85" i="2"/>
  <c r="E85" i="2"/>
  <c r="D85" i="2"/>
  <c r="B85" i="2"/>
  <c r="G84" i="2"/>
  <c r="G89" i="2" s="1"/>
  <c r="F84" i="2"/>
  <c r="F89" i="2" s="1"/>
  <c r="E84" i="2"/>
  <c r="E89" i="2" s="1"/>
  <c r="D84" i="2"/>
  <c r="D89" i="2" s="1"/>
  <c r="B77" i="2"/>
  <c r="G70" i="2"/>
  <c r="F70" i="2"/>
  <c r="E70" i="2"/>
  <c r="D70" i="2"/>
  <c r="G69" i="2"/>
  <c r="G77" i="2" s="1"/>
  <c r="F69" i="2"/>
  <c r="F77" i="2" s="1"/>
  <c r="E69" i="2"/>
  <c r="E77" i="2" s="1"/>
  <c r="D69" i="2"/>
  <c r="D77" i="2" s="1"/>
  <c r="G55" i="2"/>
  <c r="F55" i="2"/>
  <c r="E55" i="2"/>
  <c r="D55" i="2"/>
  <c r="G54" i="2"/>
  <c r="G59" i="2" s="1"/>
  <c r="F54" i="2"/>
  <c r="E54" i="2"/>
  <c r="E59" i="2" s="1"/>
  <c r="D54" i="2"/>
  <c r="D59" i="2" s="1"/>
  <c r="B47" i="2"/>
  <c r="D46" i="2"/>
  <c r="D58" i="2" s="1"/>
  <c r="G40" i="2"/>
  <c r="F40" i="2"/>
  <c r="E40" i="2"/>
  <c r="D40" i="2"/>
  <c r="G39" i="2"/>
  <c r="G47" i="2" s="1"/>
  <c r="F39" i="2"/>
  <c r="F47" i="2" s="1"/>
  <c r="E39" i="2"/>
  <c r="E47" i="2" s="1"/>
  <c r="D39" i="2"/>
  <c r="D47" i="2" s="1"/>
  <c r="F29" i="2"/>
  <c r="B29" i="2"/>
  <c r="G25" i="2"/>
  <c r="F25" i="2"/>
  <c r="E25" i="2"/>
  <c r="D25" i="2"/>
  <c r="G24" i="2"/>
  <c r="G29" i="2" s="1"/>
  <c r="F24" i="2"/>
  <c r="E24" i="2"/>
  <c r="E29" i="2" s="1"/>
  <c r="D24" i="2"/>
  <c r="D29" i="2" s="1"/>
  <c r="D17" i="2"/>
  <c r="B17" i="2"/>
  <c r="G10" i="2"/>
  <c r="F10" i="2"/>
  <c r="D10" i="2"/>
  <c r="G9" i="2"/>
  <c r="G17" i="2" s="1"/>
  <c r="F9" i="2"/>
  <c r="F17" i="2" s="1"/>
  <c r="E9" i="2"/>
  <c r="E17" i="2" s="1"/>
  <c r="D449" i="1"/>
  <c r="B449" i="1"/>
  <c r="F445" i="1"/>
  <c r="E445" i="1"/>
  <c r="D445" i="1"/>
  <c r="F444" i="1"/>
  <c r="F449" i="1" s="1"/>
  <c r="E444" i="1"/>
  <c r="E449" i="1" s="1"/>
  <c r="D444" i="1"/>
  <c r="F430" i="1"/>
  <c r="E430" i="1"/>
  <c r="D430" i="1"/>
  <c r="F429" i="1"/>
  <c r="F437" i="1" s="1"/>
  <c r="E429" i="1"/>
  <c r="E437" i="1" s="1"/>
  <c r="D429" i="1"/>
  <c r="D437" i="1" s="1"/>
  <c r="B419" i="1"/>
  <c r="F415" i="1"/>
  <c r="E415" i="1"/>
  <c r="D415" i="1"/>
  <c r="F414" i="1"/>
  <c r="F419" i="1" s="1"/>
  <c r="E414" i="1"/>
  <c r="E419" i="1" s="1"/>
  <c r="D414" i="1"/>
  <c r="D419" i="1" s="1"/>
  <c r="F400" i="1"/>
  <c r="E400" i="1"/>
  <c r="D400" i="1"/>
  <c r="F399" i="1"/>
  <c r="F407" i="1" s="1"/>
  <c r="E399" i="1"/>
  <c r="E407" i="1" s="1"/>
  <c r="D399" i="1"/>
  <c r="D407" i="1" s="1"/>
  <c r="B389" i="1"/>
  <c r="E385" i="1"/>
  <c r="D385" i="1"/>
  <c r="E384" i="1"/>
  <c r="E389" i="1" s="1"/>
  <c r="D384" i="1"/>
  <c r="D389" i="1" s="1"/>
  <c r="E370" i="1"/>
  <c r="D370" i="1"/>
  <c r="E369" i="1"/>
  <c r="E377" i="1" s="1"/>
  <c r="D369" i="1"/>
  <c r="D377" i="1" s="1"/>
  <c r="B359" i="1"/>
  <c r="F355" i="1"/>
  <c r="E355" i="1"/>
  <c r="D355" i="1"/>
  <c r="F354" i="1"/>
  <c r="F359" i="1" s="1"/>
  <c r="E354" i="1"/>
  <c r="E359" i="1" s="1"/>
  <c r="D354" i="1"/>
  <c r="D359" i="1" s="1"/>
  <c r="F340" i="1"/>
  <c r="E340" i="1"/>
  <c r="D340" i="1"/>
  <c r="F339" i="1"/>
  <c r="F347" i="1" s="1"/>
  <c r="E339" i="1"/>
  <c r="E347" i="1" s="1"/>
  <c r="D339" i="1"/>
  <c r="D347" i="1" s="1"/>
  <c r="B329" i="1"/>
  <c r="F325" i="1"/>
  <c r="E325" i="1"/>
  <c r="D325" i="1"/>
  <c r="F324" i="1"/>
  <c r="F329" i="1" s="1"/>
  <c r="E324" i="1"/>
  <c r="E329" i="1" s="1"/>
  <c r="D324" i="1"/>
  <c r="D329" i="1" s="1"/>
  <c r="F310" i="1"/>
  <c r="E310" i="1"/>
  <c r="D310" i="1"/>
  <c r="F309" i="1"/>
  <c r="F317" i="1" s="1"/>
  <c r="E309" i="1"/>
  <c r="E317" i="1" s="1"/>
  <c r="D309" i="1"/>
  <c r="D317" i="1" s="1"/>
  <c r="H299" i="1"/>
  <c r="F295" i="1"/>
  <c r="E295" i="1"/>
  <c r="D295" i="1"/>
  <c r="F294" i="1"/>
  <c r="F299" i="1" s="1"/>
  <c r="E294" i="1"/>
  <c r="E299" i="1" s="1"/>
  <c r="D294" i="1"/>
  <c r="D299" i="1" s="1"/>
  <c r="F280" i="1"/>
  <c r="D280" i="1"/>
  <c r="E280" i="1" s="1"/>
  <c r="F279" i="1"/>
  <c r="F287" i="1" s="1"/>
  <c r="E279" i="1"/>
  <c r="E287" i="1" s="1"/>
  <c r="D279" i="1"/>
  <c r="D287" i="1" s="1"/>
  <c r="G265" i="1"/>
  <c r="F265" i="1"/>
  <c r="E265" i="1"/>
  <c r="D265" i="1"/>
  <c r="G264" i="1"/>
  <c r="G269" i="1" s="1"/>
  <c r="F264" i="1"/>
  <c r="F269" i="1" s="1"/>
  <c r="E264" i="1"/>
  <c r="E269" i="1" s="1"/>
  <c r="D264" i="1"/>
  <c r="D269" i="1" s="1"/>
  <c r="B257" i="1"/>
  <c r="G250" i="1"/>
  <c r="F250" i="1"/>
  <c r="E250" i="1"/>
  <c r="D250" i="1"/>
  <c r="G249" i="1"/>
  <c r="G257" i="1" s="1"/>
  <c r="F249" i="1"/>
  <c r="F257" i="1" s="1"/>
  <c r="E249" i="1"/>
  <c r="E257" i="1" s="1"/>
  <c r="D249" i="1"/>
  <c r="D257" i="1" s="1"/>
  <c r="G235" i="1"/>
  <c r="F235" i="1"/>
  <c r="E235" i="1"/>
  <c r="D235" i="1"/>
  <c r="G234" i="1"/>
  <c r="G239" i="1" s="1"/>
  <c r="F234" i="1"/>
  <c r="F239" i="1" s="1"/>
  <c r="E234" i="1"/>
  <c r="E239" i="1" s="1"/>
  <c r="D234" i="1"/>
  <c r="D239" i="1" s="1"/>
  <c r="F227" i="1"/>
  <c r="B227" i="1"/>
  <c r="G220" i="1"/>
  <c r="F220" i="1"/>
  <c r="E220" i="1"/>
  <c r="D220" i="1"/>
  <c r="G219" i="1"/>
  <c r="G227" i="1" s="1"/>
  <c r="F219" i="1"/>
  <c r="E219" i="1"/>
  <c r="E227" i="1" s="1"/>
  <c r="D219" i="1"/>
  <c r="D227" i="1" s="1"/>
  <c r="F205" i="1"/>
  <c r="E205" i="1"/>
  <c r="D205" i="1"/>
  <c r="F204" i="1"/>
  <c r="F209" i="1" s="1"/>
  <c r="E204" i="1"/>
  <c r="E209" i="1" s="1"/>
  <c r="D204" i="1"/>
  <c r="D209" i="1" s="1"/>
  <c r="D197" i="1"/>
  <c r="B197" i="1"/>
  <c r="F190" i="1"/>
  <c r="E190" i="1"/>
  <c r="D190" i="1"/>
  <c r="F189" i="1"/>
  <c r="F197" i="1" s="1"/>
  <c r="E189" i="1"/>
  <c r="E197" i="1" s="1"/>
  <c r="D189" i="1"/>
  <c r="B179" i="1"/>
  <c r="F175" i="1"/>
  <c r="E175" i="1"/>
  <c r="D175" i="1"/>
  <c r="B175" i="1"/>
  <c r="F174" i="1"/>
  <c r="F179" i="1" s="1"/>
  <c r="E174" i="1"/>
  <c r="E179" i="1" s="1"/>
  <c r="D174" i="1"/>
  <c r="D179" i="1" s="1"/>
  <c r="B167" i="1"/>
  <c r="F160" i="1"/>
  <c r="E160" i="1"/>
  <c r="D160" i="1"/>
  <c r="F159" i="1"/>
  <c r="F167" i="1" s="1"/>
  <c r="E159" i="1"/>
  <c r="E167" i="1" s="1"/>
  <c r="D159" i="1"/>
  <c r="D167" i="1" s="1"/>
  <c r="G145" i="1"/>
  <c r="F145" i="1"/>
  <c r="E145" i="1"/>
  <c r="D145" i="1"/>
  <c r="G144" i="1"/>
  <c r="G149" i="1" s="1"/>
  <c r="F144" i="1"/>
  <c r="F149" i="1" s="1"/>
  <c r="E144" i="1"/>
  <c r="E149" i="1" s="1"/>
  <c r="D144" i="1"/>
  <c r="D149" i="1" s="1"/>
  <c r="B144" i="1"/>
  <c r="B149" i="1" s="1"/>
  <c r="B137" i="1"/>
  <c r="G130" i="1"/>
  <c r="F130" i="1"/>
  <c r="E130" i="1"/>
  <c r="D130" i="1"/>
  <c r="G129" i="1"/>
  <c r="G137" i="1" s="1"/>
  <c r="F129" i="1"/>
  <c r="F137" i="1" s="1"/>
  <c r="E129" i="1"/>
  <c r="E137" i="1" s="1"/>
  <c r="D129" i="1"/>
  <c r="D137" i="1" s="1"/>
  <c r="F115" i="1"/>
  <c r="E115" i="1"/>
  <c r="D115" i="1"/>
  <c r="F114" i="1"/>
  <c r="F119" i="1" s="1"/>
  <c r="E114" i="1"/>
  <c r="E119" i="1" s="1"/>
  <c r="D114" i="1"/>
  <c r="D119" i="1" s="1"/>
  <c r="F100" i="1"/>
  <c r="E100" i="1"/>
  <c r="D100" i="1"/>
  <c r="F99" i="1"/>
  <c r="F107" i="1" s="1"/>
  <c r="E99" i="1"/>
  <c r="E107" i="1" s="1"/>
  <c r="D99" i="1"/>
  <c r="D107" i="1" s="1"/>
  <c r="B89" i="1"/>
  <c r="D88" i="1"/>
  <c r="G85" i="1"/>
  <c r="F85" i="1"/>
  <c r="E85" i="1"/>
  <c r="D85" i="1"/>
  <c r="B85" i="1"/>
  <c r="G84" i="1"/>
  <c r="G89" i="1" s="1"/>
  <c r="F84" i="1"/>
  <c r="F89" i="1" s="1"/>
  <c r="E84" i="1"/>
  <c r="E89" i="1" s="1"/>
  <c r="D84" i="1"/>
  <c r="D89" i="1" s="1"/>
  <c r="B77" i="1"/>
  <c r="G70" i="1"/>
  <c r="F70" i="1"/>
  <c r="E70" i="1"/>
  <c r="D70" i="1"/>
  <c r="G69" i="1"/>
  <c r="G77" i="1" s="1"/>
  <c r="F69" i="1"/>
  <c r="F77" i="1" s="1"/>
  <c r="E69" i="1"/>
  <c r="E77" i="1" s="1"/>
  <c r="D69" i="1"/>
  <c r="D77" i="1" s="1"/>
  <c r="B59" i="1"/>
  <c r="D58" i="1"/>
  <c r="G55" i="1"/>
  <c r="F55" i="1"/>
  <c r="E55" i="1"/>
  <c r="D55" i="1"/>
  <c r="G54" i="1"/>
  <c r="G59" i="1" s="1"/>
  <c r="F54" i="1"/>
  <c r="F59" i="1" s="1"/>
  <c r="E54" i="1"/>
  <c r="E59" i="1" s="1"/>
  <c r="D54" i="1"/>
  <c r="D59" i="1" s="1"/>
  <c r="G47" i="1"/>
  <c r="B47" i="1"/>
  <c r="G40" i="1"/>
  <c r="F40" i="1"/>
  <c r="E40" i="1"/>
  <c r="G39" i="1"/>
  <c r="F39" i="1"/>
  <c r="F47" i="1" s="1"/>
  <c r="E39" i="1"/>
  <c r="E47" i="1" s="1"/>
  <c r="D39" i="1"/>
  <c r="D40" i="1" s="1"/>
  <c r="B29" i="1"/>
  <c r="G25" i="1"/>
  <c r="F25" i="1"/>
  <c r="E25" i="1"/>
  <c r="D25" i="1"/>
  <c r="G24" i="1"/>
  <c r="G29" i="1" s="1"/>
  <c r="F24" i="1"/>
  <c r="F29" i="1" s="1"/>
  <c r="E24" i="1"/>
  <c r="E29" i="1" s="1"/>
  <c r="D24" i="1"/>
  <c r="D29" i="1" s="1"/>
  <c r="G17" i="1"/>
  <c r="D17" i="1"/>
  <c r="B17" i="1"/>
  <c r="F10" i="1"/>
  <c r="E10" i="1"/>
  <c r="D10" i="1"/>
  <c r="F9" i="1"/>
  <c r="F17" i="1" s="1"/>
  <c r="E9" i="1"/>
  <c r="E17" i="1" s="1"/>
  <c r="D9" i="1"/>
  <c r="D93" i="4" l="1"/>
  <c r="D47" i="1"/>
  <c r="D80" i="4"/>
  <c r="E40" i="4"/>
  <c r="E71" i="4"/>
  <c r="E88" i="4"/>
  <c r="D40" i="4"/>
  <c r="E55" i="4"/>
  <c r="F205" i="2"/>
  <c r="E10" i="2"/>
</calcChain>
</file>

<file path=xl/sharedStrings.xml><?xml version="1.0" encoding="utf-8"?>
<sst xmlns="http://schemas.openxmlformats.org/spreadsheetml/2006/main" count="2619" uniqueCount="233">
  <si>
    <t>Panduan penawaran perpanjangan promo Pembayaran di Muka ( PM12 ) Pelanggan Existing</t>
  </si>
  <si>
    <t>Promo Berjalan</t>
  </si>
  <si>
    <t>Opsi Penawaran Renew PM</t>
  </si>
  <si>
    <t>Promo PM Berakhir</t>
  </si>
  <si>
    <t>1. PM10+2 Diamond+</t>
  </si>
  <si>
    <t>Tier 1</t>
  </si>
  <si>
    <t>Tier 2</t>
  </si>
  <si>
    <t>Tier 3</t>
  </si>
  <si>
    <t>Tier LOYALTY *****</t>
  </si>
  <si>
    <t>STB Utama</t>
  </si>
  <si>
    <t>Satellite Diamond</t>
  </si>
  <si>
    <t>Penawaran Extend PM</t>
  </si>
  <si>
    <t>PM10+2 Diamond</t>
  </si>
  <si>
    <t>PM12 Dia+ BBM 2.2 jt (CC Non Mega)</t>
  </si>
  <si>
    <t>*PM12 Satellite Diamond</t>
  </si>
  <si>
    <t>PM10+2 Gold 199K</t>
  </si>
  <si>
    <t>Harga Bulanan STB Utama</t>
  </si>
  <si>
    <t>Nilai PM STB Utama</t>
  </si>
  <si>
    <t>Nilai PM biaya Rental STB</t>
  </si>
  <si>
    <t>Biaya Rent STB Utama Samsung / DX</t>
  </si>
  <si>
    <t xml:space="preserve">free   </t>
  </si>
  <si>
    <t>Free selama periode PM</t>
  </si>
  <si>
    <t>free</t>
  </si>
  <si>
    <t>Biaya Rent STB Utama CX PVR</t>
  </si>
  <si>
    <t>Biaya Rent STB Utama ITV</t>
  </si>
  <si>
    <t>include</t>
  </si>
  <si>
    <t>Bonus tagihan STB Utama</t>
  </si>
  <si>
    <t>Free tagihan bln ke 11 &amp; 12</t>
  </si>
  <si>
    <t>*Tidak ada pergantian decoder ITV &amp;  Free tagihan bln ke 11 &amp; 12</t>
  </si>
  <si>
    <t>Bonus Tayangan STB Utama</t>
  </si>
  <si>
    <t>Upgrade to Diamond+ 12 bln</t>
  </si>
  <si>
    <t>Harga bulanan setelah promo berakhir</t>
  </si>
  <si>
    <t>Harga Rent STB utama setelah promo berakhir</t>
  </si>
  <si>
    <t>include bulanan</t>
  </si>
  <si>
    <t>Promo G2D selama masa PM all STB</t>
  </si>
  <si>
    <t>NA</t>
  </si>
  <si>
    <t>STB Tambahan</t>
  </si>
  <si>
    <t>Harga Bulanan STB Multi</t>
  </si>
  <si>
    <t>Nilai PM STB Multi</t>
  </si>
  <si>
    <t>Biaya PM Rent STB Multi ( all type )</t>
  </si>
  <si>
    <t>Bonus tagihan STB Multi</t>
  </si>
  <si>
    <t>Bonus Tayangan STB Multi</t>
  </si>
  <si>
    <t>Harga Rent STB tambahan setelah promo berakhir</t>
  </si>
  <si>
    <t>Biaya Rent STB tambahan Samsung / DX</t>
  </si>
  <si>
    <t>Biaya Rent STB tambahan CX PVR</t>
  </si>
  <si>
    <t>Biaya Rent STB tambahan  ITV</t>
  </si>
  <si>
    <t>2. PM10+2 Vaganza Diamond</t>
  </si>
  <si>
    <t>PM10+2 Vaganza Diamond 2,99Jt</t>
  </si>
  <si>
    <t>PM5+1 Vaganza Diamond</t>
  </si>
  <si>
    <t>PM10+2 Vaganza Diamond 2.4 juta</t>
  </si>
  <si>
    <t>free selamaperiode PM</t>
  </si>
  <si>
    <t>free selama periode PM</t>
  </si>
  <si>
    <t>Free tagihan bulan ke 6</t>
  </si>
  <si>
    <t>All Channel 12 bulan</t>
  </si>
  <si>
    <t>All Channel 6 bulan</t>
  </si>
  <si>
    <t>3. PM10+2 Vaganza Diamond Tactical / 
PM12 Super Vaganza Diamond 2.5 Jt</t>
  </si>
  <si>
    <t>PM10+12 Vaganza Diamond</t>
  </si>
  <si>
    <t>Minipack V. Blockbuster 6 bulan</t>
  </si>
  <si>
    <t>4. PM10+2 Vaganza Platinum</t>
  </si>
  <si>
    <t>Satellite Platinum</t>
  </si>
  <si>
    <t>PM10+2 Vaganza Platinum</t>
  </si>
  <si>
    <t>PM12 Gold+ 139K</t>
  </si>
  <si>
    <t>Minipack Movies 12 bln</t>
  </si>
  <si>
    <t xml:space="preserve">Promo G2D selama masa PM all STB </t>
  </si>
  <si>
    <t>Minipack Movies 12 bulan</t>
  </si>
  <si>
    <t>5.PM12 DIA+ Bingkisan Bank Mega</t>
  </si>
  <si>
    <t>PM12 Dia+ BBM 2.1 Juta (CC Bank Mega)</t>
  </si>
  <si>
    <t>PM12 Dia+ BBM 2.2 Juta (CC Non Mega)</t>
  </si>
  <si>
    <t>6.PM10+2 Gold+ 199K</t>
  </si>
  <si>
    <t>7. PM12 Gold+ 139K / 
PM12 Gold+ 1,3Juta</t>
  </si>
  <si>
    <t>PM12 Gold+ 99K</t>
  </si>
  <si>
    <t>All Channel 12 Bulan</t>
  </si>
  <si>
    <t>Opsi Penawaran renew PM</t>
  </si>
  <si>
    <t>8. PM12 Gold+ 99K / 
PM12 Gold+ 995K /</t>
  </si>
  <si>
    <t>Satellite Gold</t>
  </si>
  <si>
    <t>PM6 Gold+ 99K</t>
  </si>
  <si>
    <t>PM12 Nomat</t>
  </si>
  <si>
    <t xml:space="preserve">free  </t>
  </si>
  <si>
    <t>Minipack Movies 6 bulan</t>
  </si>
  <si>
    <t>9. PM12 Gold+ 1,170K</t>
  </si>
  <si>
    <t>PM12 Gold+ 1,170K</t>
  </si>
  <si>
    <t>PM10+2 Vaganza Gold</t>
  </si>
  <si>
    <t>10. PM10+2 Vaganza Gold</t>
  </si>
  <si>
    <t>PM10+2 Vaganza Gold Disc 30%</t>
  </si>
  <si>
    <t>PM5+1 Vaganza Gold</t>
  </si>
  <si>
    <t>11. Nomat PM12</t>
  </si>
  <si>
    <t>PM6 Nomat</t>
  </si>
  <si>
    <t>12. Satellite Gold PM12 (a)</t>
  </si>
  <si>
    <t>Decoder Samsung / CX / DX</t>
  </si>
  <si>
    <t>PM12 Satellite Gold</t>
  </si>
  <si>
    <t>PM12 Vaganza Silver</t>
  </si>
  <si>
    <t xml:space="preserve">free </t>
  </si>
  <si>
    <t xml:space="preserve">Promo G2D selama masa PM </t>
  </si>
  <si>
    <t>13. Satellite Gold PM12 (b)</t>
  </si>
  <si>
    <t>Decoder ITV / Hybrid</t>
  </si>
  <si>
    <t>14. Satellite Platinum PM12</t>
  </si>
  <si>
    <t>PM12 Satellite Platinum</t>
  </si>
  <si>
    <t>15. Satellite Diamond PM12</t>
  </si>
  <si>
    <t>PM12 Satellite Diamond</t>
  </si>
  <si>
    <t>Panduan penawaran perpanjangan promo Pembayaran di Muka ( PM6 ) Pelanggan Existing</t>
  </si>
  <si>
    <t>1. PM5+1 Diamond+</t>
  </si>
  <si>
    <t>TIER LOYALTY*****</t>
  </si>
  <si>
    <t>PM5+1 Diamond</t>
  </si>
  <si>
    <t>PM5+1 Vaganza Platinum</t>
  </si>
  <si>
    <t>Up 2 Diamond 6 bulan</t>
  </si>
  <si>
    <t>Harga paket bulanan setelah promo berakhir</t>
  </si>
  <si>
    <t xml:space="preserve"> </t>
  </si>
  <si>
    <t>2. PM5+1 Vaganza Diamond</t>
  </si>
  <si>
    <t>PM6 Gold+ 139K</t>
  </si>
  <si>
    <t>3. PM5+1 Vaganza Platinum</t>
  </si>
  <si>
    <t>Minipack Movies 6 bln</t>
  </si>
  <si>
    <t>Up 2 Diamond 6 Bulan</t>
  </si>
  <si>
    <t>4. PM5+1 Gold+ 199K</t>
  </si>
  <si>
    <t>PM5+1 Gold+ 199K</t>
  </si>
  <si>
    <t>5. PM6 Gold+ 139K</t>
  </si>
  <si>
    <t>All Channel 6 Bulan</t>
  </si>
  <si>
    <t>6. PM6 Gold+ 99K</t>
  </si>
  <si>
    <t>PM3 Gold+ 99K</t>
  </si>
  <si>
    <t>Minipack Movies 3 bulan</t>
  </si>
  <si>
    <t>7. PM5+1 Vaganza Gold 99K</t>
  </si>
  <si>
    <t>Nusa Gold</t>
  </si>
  <si>
    <t>PM5+1 Vaganza Gold Disc 30%</t>
  </si>
  <si>
    <t>PM5+1 Bronze</t>
  </si>
  <si>
    <t xml:space="preserve">Minipack Asia (Hiburan) 6 bulan </t>
  </si>
  <si>
    <t>8. Nomat PM6</t>
  </si>
  <si>
    <t>9. Satellite Gold PM6 (a)</t>
  </si>
  <si>
    <t>PM6 Satellite Gold</t>
  </si>
  <si>
    <t>PM6 Vaganza Silver New</t>
  </si>
  <si>
    <t>10. Satellite Gold PM6 (b)</t>
  </si>
  <si>
    <t xml:space="preserve">Decoder ITV / Hybrid </t>
  </si>
  <si>
    <t>11. Satellite Platinum PM6</t>
  </si>
  <si>
    <t>PM6 Satellite Platinum</t>
  </si>
  <si>
    <t>12. Satellite Diamond PM6</t>
  </si>
  <si>
    <t>PM6 Satellite Diamond</t>
  </si>
  <si>
    <t>Panduan penawaran perpanjangan promo Pembayaran di Muka ( PM3 ) Pelanggan Existing</t>
  </si>
  <si>
    <t>1. PM3 Gold+ 139K</t>
  </si>
  <si>
    <t>PM3 Gold+ 139K</t>
  </si>
  <si>
    <t>PM3 Bronze 69K</t>
  </si>
  <si>
    <t>free selama masa PM</t>
  </si>
  <si>
    <t xml:space="preserve">Minipack Asia (Hiburan) 3 bulan </t>
  </si>
  <si>
    <t>2. PM3 Gold+ 99K</t>
  </si>
  <si>
    <t>3. PM3 Nomat</t>
  </si>
  <si>
    <t>PM3 Nomat</t>
  </si>
  <si>
    <t>PM3 Vaganza Silver</t>
  </si>
  <si>
    <t>4. Vaganza Gold</t>
  </si>
  <si>
    <t>PM3 Vaganza Gold</t>
  </si>
  <si>
    <t>All Channel 3 bulan</t>
  </si>
  <si>
    <t>5. PM3 Vaganza Silver</t>
  </si>
  <si>
    <t>PM6 Vaganza Silver</t>
  </si>
  <si>
    <t>Panduan penawaran perpanjangan promo Pembayaran di Muka paket Retensi</t>
  </si>
  <si>
    <t>1. PM12 Vaganza Silver</t>
  </si>
  <si>
    <t>PM10+2 Vaganza Silver</t>
  </si>
  <si>
    <t>PM10+2 Vaganza Silver Disc 30%</t>
  </si>
  <si>
    <t>2. PM5+1 Bronze</t>
  </si>
  <si>
    <t>PM3 Bronze</t>
  </si>
  <si>
    <t>Free tagihan bln ke 6</t>
  </si>
  <si>
    <t>Vaganza Blockbuster (Film) 6 bulan</t>
  </si>
  <si>
    <t>up to Gold+ (Satellite Platinum) 6 bulan</t>
  </si>
  <si>
    <t>up to Gold+ 6 bln</t>
  </si>
  <si>
    <t>3. PM10+2 Nasional</t>
  </si>
  <si>
    <t>PM10+2 Nasional</t>
  </si>
  <si>
    <t>Free tagihan bln ke 11-12</t>
  </si>
  <si>
    <t>Upgrade paket Bronze 12 Bln</t>
  </si>
  <si>
    <t>Minipack Asia (Hiburan) 6 bulan</t>
  </si>
  <si>
    <t>Kebijakan downgrade penawaran renewal PM M-1</t>
  </si>
  <si>
    <t>Latar belakang</t>
  </si>
  <si>
    <t>1. Kondisi penerapan PSBB yang dilakukan di daerah berkaitan dengan kondisi KLB Covid-19</t>
  </si>
  <si>
    <t>2. Adanya potensi atau sudah berdampak terhadap proses penawaran renew PM pelanggan PM yang berakhir</t>
  </si>
  <si>
    <r>
      <t xml:space="preserve">3. Perlunya ada kebijakan retensi untuk opsi penawaran downgrade diluar </t>
    </r>
    <r>
      <rPr>
        <b/>
        <sz val="11"/>
        <color theme="1"/>
        <rFont val="Calibri"/>
        <family val="2"/>
        <scheme val="minor"/>
      </rPr>
      <t>tearing renewal PM</t>
    </r>
    <r>
      <rPr>
        <sz val="11"/>
        <color theme="1"/>
        <rFont val="Calibri"/>
        <family val="2"/>
        <scheme val="minor"/>
      </rPr>
      <t>, agar pelanggan tidak churn</t>
    </r>
  </si>
  <si>
    <t>Tujuan</t>
  </si>
  <si>
    <t>1. Kebijakan ini ditujukan kepada pelanggan yang mengalami kendala keuangan di masa KLB Covid-19 ini</t>
  </si>
  <si>
    <t>2. Untuk memudahkan internal process perubahan dan dasar tim Helpdesk untuk melakukan perubahan</t>
  </si>
  <si>
    <t>Opsi Downgrade yang bisa di tawarkan</t>
  </si>
  <si>
    <t>Promo</t>
  </si>
  <si>
    <t>Tayangan</t>
  </si>
  <si>
    <t>Periode</t>
  </si>
  <si>
    <t>Harga PM</t>
  </si>
  <si>
    <t>Discount Tagihan</t>
  </si>
  <si>
    <t>Harga saat promo berakhir / bulan</t>
  </si>
  <si>
    <t>Harga STB Utama</t>
  </si>
  <si>
    <t>Harga STB Tambahan</t>
  </si>
  <si>
    <t>PM3+1 Gold 199K</t>
  </si>
  <si>
    <t>3+1 bulan</t>
  </si>
  <si>
    <t>Free tghn bln ke 4</t>
  </si>
  <si>
    <t>PM3 Gold 99K</t>
  </si>
  <si>
    <t>3 Bulan</t>
  </si>
  <si>
    <t>6 Bulan</t>
  </si>
  <si>
    <t>PM5+1 Bronze 345K</t>
  </si>
  <si>
    <t>12 Bulan</t>
  </si>
  <si>
    <t>PM12 Vaganza Silver New</t>
  </si>
  <si>
    <t>Catatan :</t>
  </si>
  <si>
    <t>1. Penawaran ini khusus berlaku bagi promo pelanggan PM berakhir bulan ( M-1 ) sebelum promo berakhir</t>
  </si>
  <si>
    <t>2. Untuk permintaan downgrade melalui mekanisme create ticket Downgrade</t>
  </si>
  <si>
    <t>3. Proses approval dilakukan oleh Alia  ( untuk tim Portflio ) &amp; SOM ( untuk Regional ) dengan mengirimkan email ke tim helpdesk dengan menyebutkan ID pelanggan &amp; Nomor ticketnya</t>
  </si>
  <si>
    <t>4. Mohon tiap2 atasan memastikan tim nya hanya memberikan penawaran ini ke pelanggan yg memang mengalami kendala finansial</t>
  </si>
  <si>
    <t>5. Jika pelanggan menggunakan STB ITV, tetap wajib membayarkan biaya rent STB nya senilai : PM12 ( 504 rb ), PM6 ( 252rb ) dan akan menjadi 50 ribuan / bulan jika promo PM nya berakhir</t>
  </si>
  <si>
    <t>6. Tidak ada bonus tayangan untuk opsi downgrade non tiering</t>
  </si>
  <si>
    <t>Contoh case</t>
  </si>
  <si>
    <t>1. Pelanggan V. Diamond PM yg tidak berhasil dilakukan penawaran tiering 1/2/3 maka bisa ditawarkan opsi ini</t>
  </si>
  <si>
    <r>
      <t xml:space="preserve">Promo perpanjangan PM pelanggan UKM dengan tarif UKM ( 1 Account berlangganan </t>
    </r>
    <r>
      <rPr>
        <b/>
        <sz val="12"/>
        <color theme="1"/>
        <rFont val="Calibri"/>
        <family val="2"/>
      </rPr>
      <t>≥</t>
    </r>
    <r>
      <rPr>
        <b/>
        <sz val="12"/>
        <color theme="1"/>
        <rFont val="Calibri"/>
        <family val="2"/>
        <scheme val="minor"/>
      </rPr>
      <t xml:space="preserve"> 8 STB )</t>
    </r>
  </si>
  <si>
    <t>Opsi Tear 1</t>
  </si>
  <si>
    <t>Paket</t>
  </si>
  <si>
    <t>Harga per Decoder</t>
  </si>
  <si>
    <t>Jumlah tagihan</t>
  </si>
  <si>
    <t>Harga Saat Promo berakhir</t>
  </si>
  <si>
    <t>Opsi Discount</t>
  </si>
  <si>
    <t>PM 12 Bulan</t>
  </si>
  <si>
    <t>Gold+</t>
  </si>
  <si>
    <t>Harga per Decoder x Jumlah Decoder x Jumlah masa PM</t>
  </si>
  <si>
    <t>85.773 / STB</t>
  </si>
  <si>
    <r>
      <t xml:space="preserve">Jika pelanggan tetap berminat menggunakan paket Gold namun meminta keringanan pembayaran maka bisa diberikan penawaran discount </t>
    </r>
    <r>
      <rPr>
        <b/>
        <sz val="11"/>
        <color rgb="FF0070C0"/>
        <rFont val="Calibri"/>
        <family val="2"/>
        <scheme val="minor"/>
      </rPr>
      <t xml:space="preserve">maximal 10% </t>
    </r>
    <r>
      <rPr>
        <sz val="11"/>
        <color theme="1"/>
        <rFont val="Calibri"/>
        <family val="2"/>
        <scheme val="minor"/>
      </rPr>
      <t>dengan minimum mengambil PM6, dengan approval ke ho_crm@transvision.co.id</t>
    </r>
  </si>
  <si>
    <t>PM 6 Bulan</t>
  </si>
  <si>
    <t>PM 3 Bulan</t>
  </si>
  <si>
    <t>Bulanan</t>
  </si>
  <si>
    <t>Harga per Decoder x Jumlah Decoder</t>
  </si>
  <si>
    <t>Opsi Tear 2</t>
  </si>
  <si>
    <t>Vaganza Silver New</t>
  </si>
  <si>
    <t>Harga PM x Jumlah Dekoder</t>
  </si>
  <si>
    <t>Harga Bulanan x Jumlah Dekoder</t>
  </si>
  <si>
    <t>Promo penawaran perpanjangan PM untuk retensi pelanggan UKM &amp; Red Doorz dengan tarif retail</t>
  </si>
  <si>
    <t>1. PM12 Gold+ 139K / 
PM12 Gold+ 1,3Juta</t>
  </si>
  <si>
    <t xml:space="preserve">Minipack Asia (Hiburan) 12 bulan </t>
  </si>
  <si>
    <t>2. PM12 Gold 99k / 995K</t>
  </si>
  <si>
    <t>3. Nomat PM12</t>
  </si>
  <si>
    <t>Nusa Platinum</t>
  </si>
  <si>
    <t>PM12 Nusa Gold 129K</t>
  </si>
  <si>
    <t>1. PM12 Nusa Gold</t>
  </si>
  <si>
    <t>PM6 Nusa Gold 79.9K</t>
  </si>
  <si>
    <t>PM12 Nusa Platinum 490K</t>
  </si>
  <si>
    <t>Nusa Diamond</t>
  </si>
  <si>
    <t>PM12 Nusa Diamond 1,390K</t>
  </si>
  <si>
    <t>PM12 Nusa Gold 159K</t>
  </si>
  <si>
    <t xml:space="preserve">Promo penawaran perpanjangan PM untuk DTH UKM SME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</si>
</sst>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0070C0"/>
      <name val="Arial"/>
      <family val="2"/>
    </font>
    <font>
      <b/>
      <i/>
      <sz val="11"/>
      <color theme="1"/>
      <name val="Arial"/>
      <family val="2"/>
    </font>
    <font>
      <b/>
      <sz val="11"/>
      <color rgb="FF0070C0"/>
      <name val="Arial"/>
      <family val="2"/>
    </font>
    <font>
      <i/>
      <strike/>
      <sz val="11"/>
      <color rgb="FFFF0000"/>
      <name val="Arial"/>
      <family val="2"/>
    </font>
    <font>
      <b/>
      <i/>
      <strike/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C00000"/>
      <name val="Arial"/>
      <family val="2"/>
    </font>
    <font>
      <i/>
      <sz val="11"/>
      <color rgb="FFC00000"/>
      <name val="Arial"/>
      <family val="2"/>
    </font>
    <font>
      <b/>
      <i/>
      <sz val="11"/>
      <color rgb="FFC00000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164" fontId="6" fillId="5" borderId="1" xfId="1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 vertical="center" indent="1"/>
    </xf>
    <xf numFmtId="164" fontId="6" fillId="7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164" fontId="3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indent="1"/>
    </xf>
    <xf numFmtId="164" fontId="6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3" fontId="6" fillId="0" borderId="1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indent="2"/>
    </xf>
    <xf numFmtId="164" fontId="9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5" fillId="8" borderId="1" xfId="0" applyFont="1" applyFill="1" applyBorder="1" applyAlignment="1">
      <alignment horizontal="left" vertical="center" indent="1"/>
    </xf>
    <xf numFmtId="164" fontId="5" fillId="8" borderId="1" xfId="1" applyNumberFormat="1" applyFont="1" applyFill="1" applyBorder="1" applyAlignment="1">
      <alignment horizontal="right" vertical="center"/>
    </xf>
    <xf numFmtId="0" fontId="10" fillId="9" borderId="1" xfId="0" applyFont="1" applyFill="1" applyBorder="1" applyAlignment="1">
      <alignment horizontal="left" vertical="center"/>
    </xf>
    <xf numFmtId="164" fontId="10" fillId="9" borderId="1" xfId="1" applyNumberFormat="1" applyFont="1" applyFill="1" applyBorder="1" applyAlignment="1">
      <alignment horizontal="right" vertical="center"/>
    </xf>
    <xf numFmtId="0" fontId="6" fillId="10" borderId="1" xfId="0" applyFont="1" applyFill="1" applyBorder="1" applyAlignment="1">
      <alignment vertical="center"/>
    </xf>
    <xf numFmtId="164" fontId="6" fillId="10" borderId="1" xfId="1" applyNumberFormat="1" applyFont="1" applyFill="1" applyBorder="1" applyAlignment="1">
      <alignment horizontal="right" vertical="center"/>
    </xf>
    <xf numFmtId="164" fontId="11" fillId="10" borderId="1" xfId="1" applyNumberFormat="1" applyFont="1" applyFill="1" applyBorder="1" applyAlignment="1">
      <alignment horizontal="right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164" fontId="12" fillId="8" borderId="1" xfId="1" applyNumberFormat="1" applyFont="1" applyFill="1" applyBorder="1" applyAlignment="1">
      <alignment horizontal="right" vertical="center"/>
    </xf>
    <xf numFmtId="164" fontId="13" fillId="9" borderId="1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164" fontId="3" fillId="0" borderId="0" xfId="1" applyNumberFormat="1" applyFont="1" applyBorder="1" applyAlignment="1">
      <alignment horizontal="right" vertical="center"/>
    </xf>
    <xf numFmtId="164" fontId="8" fillId="6" borderId="4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left" vertical="center"/>
    </xf>
    <xf numFmtId="164" fontId="14" fillId="8" borderId="1" xfId="1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15" fillId="7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Border="1" applyAlignment="1">
      <alignment horizontal="right" vertical="center"/>
    </xf>
    <xf numFmtId="164" fontId="17" fillId="9" borderId="1" xfId="1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horizontal="right" vertical="center"/>
    </xf>
    <xf numFmtId="164" fontId="8" fillId="6" borderId="4" xfId="1" applyNumberFormat="1" applyFont="1" applyFill="1" applyBorder="1" applyAlignment="1">
      <alignment vertical="center"/>
    </xf>
    <xf numFmtId="164" fontId="8" fillId="6" borderId="1" xfId="1" applyNumberFormat="1" applyFont="1" applyFill="1" applyBorder="1" applyAlignment="1">
      <alignment horizontal="center" vertical="center"/>
    </xf>
    <xf numFmtId="164" fontId="16" fillId="8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Border="1" applyAlignment="1">
      <alignment horizontal="center" vertical="center"/>
    </xf>
    <xf numFmtId="164" fontId="5" fillId="8" borderId="1" xfId="1" applyNumberFormat="1" applyFont="1" applyFill="1" applyBorder="1" applyAlignment="1">
      <alignment horizontal="right" vertical="center" wrapText="1"/>
    </xf>
    <xf numFmtId="164" fontId="18" fillId="9" borderId="1" xfId="1" applyNumberFormat="1" applyFont="1" applyFill="1" applyBorder="1" applyAlignment="1">
      <alignment horizontal="right" vertical="center"/>
    </xf>
    <xf numFmtId="164" fontId="19" fillId="6" borderId="1" xfId="1" applyNumberFormat="1" applyFont="1" applyFill="1" applyBorder="1" applyAlignment="1">
      <alignment horizontal="right" vertical="center"/>
    </xf>
    <xf numFmtId="164" fontId="20" fillId="7" borderId="1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indent="2"/>
    </xf>
    <xf numFmtId="164" fontId="9" fillId="0" borderId="0" xfId="1" applyNumberFormat="1" applyFont="1" applyBorder="1" applyAlignment="1">
      <alignment horizontal="right" vertical="center"/>
    </xf>
    <xf numFmtId="0" fontId="3" fillId="0" borderId="0" xfId="0" applyFont="1"/>
    <xf numFmtId="0" fontId="0" fillId="0" borderId="0" xfId="0" applyAlignment="1">
      <alignment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5" fillId="9" borderId="1" xfId="1" applyNumberFormat="1" applyFont="1" applyFill="1" applyBorder="1" applyAlignment="1">
      <alignment horizontal="right" vertical="center"/>
    </xf>
    <xf numFmtId="164" fontId="6" fillId="6" borderId="1" xfId="1" applyNumberFormat="1" applyFont="1" applyFill="1" applyBorder="1" applyAlignment="1">
      <alignment horizontal="right" vertical="center"/>
    </xf>
    <xf numFmtId="164" fontId="19" fillId="0" borderId="2" xfId="1" applyNumberFormat="1" applyFont="1" applyBorder="1" applyAlignment="1">
      <alignment vertical="center"/>
    </xf>
    <xf numFmtId="164" fontId="19" fillId="0" borderId="4" xfId="1" applyNumberFormat="1" applyFont="1" applyBorder="1" applyAlignment="1">
      <alignment vertical="center"/>
    </xf>
    <xf numFmtId="164" fontId="12" fillId="8" borderId="1" xfId="1" applyNumberFormat="1" applyFont="1" applyFill="1" applyBorder="1" applyAlignment="1">
      <alignment horizontal="right" wrapText="1"/>
    </xf>
    <xf numFmtId="164" fontId="19" fillId="8" borderId="1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2" fillId="1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11" borderId="7" xfId="0" applyFont="1" applyFill="1" applyBorder="1" applyAlignment="1">
      <alignment horizontal="left" vertical="center"/>
    </xf>
    <xf numFmtId="0" fontId="0" fillId="11" borderId="7" xfId="0" applyFont="1" applyFill="1" applyBorder="1" applyAlignment="1">
      <alignment horizontal="center" vertical="center"/>
    </xf>
    <xf numFmtId="164" fontId="0" fillId="11" borderId="7" xfId="1" applyNumberFormat="1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1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64" fontId="0" fillId="0" borderId="7" xfId="1" applyNumberFormat="1" applyFont="1" applyBorder="1" applyAlignment="1">
      <alignment vertical="center"/>
    </xf>
    <xf numFmtId="164" fontId="0" fillId="0" borderId="0" xfId="1" applyNumberFormat="1" applyFont="1"/>
    <xf numFmtId="0" fontId="21" fillId="0" borderId="0" xfId="0" applyFont="1"/>
    <xf numFmtId="0" fontId="2" fillId="12" borderId="12" xfId="0" applyFont="1" applyFill="1" applyBorder="1"/>
    <xf numFmtId="164" fontId="2" fillId="12" borderId="12" xfId="1" applyNumberFormat="1" applyFont="1" applyFill="1" applyBorder="1"/>
    <xf numFmtId="0" fontId="2" fillId="13" borderId="12" xfId="0" applyFont="1" applyFill="1" applyBorder="1"/>
    <xf numFmtId="0" fontId="2" fillId="6" borderId="12" xfId="0" applyFont="1" applyFill="1" applyBorder="1"/>
    <xf numFmtId="164" fontId="2" fillId="13" borderId="12" xfId="1" applyNumberFormat="1" applyFont="1" applyFill="1" applyBorder="1"/>
    <xf numFmtId="0" fontId="0" fillId="0" borderId="12" xfId="0" applyBorder="1"/>
    <xf numFmtId="164" fontId="0" fillId="0" borderId="12" xfId="1" applyNumberFormat="1" applyFont="1" applyBorder="1"/>
    <xf numFmtId="0" fontId="0" fillId="7" borderId="12" xfId="0" applyFill="1" applyBorder="1"/>
    <xf numFmtId="164" fontId="0" fillId="7" borderId="12" xfId="1" applyNumberFormat="1" applyFont="1" applyFill="1" applyBorder="1"/>
    <xf numFmtId="0" fontId="24" fillId="0" borderId="0" xfId="0" applyFont="1"/>
    <xf numFmtId="164" fontId="8" fillId="6" borderId="2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164" fontId="8" fillId="6" borderId="2" xfId="1" applyNumberFormat="1" applyFont="1" applyFill="1" applyBorder="1" applyAlignment="1">
      <alignment horizontal="center" vertical="center"/>
    </xf>
    <xf numFmtId="164" fontId="8" fillId="6" borderId="3" xfId="1" applyNumberFormat="1" applyFont="1" applyFill="1" applyBorder="1" applyAlignment="1">
      <alignment horizontal="center" vertical="center"/>
    </xf>
    <xf numFmtId="164" fontId="8" fillId="6" borderId="4" xfId="1" applyNumberFormat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 wrapText="1"/>
    </xf>
    <xf numFmtId="164" fontId="7" fillId="3" borderId="6" xfId="1" applyNumberFormat="1" applyFont="1" applyFill="1" applyBorder="1" applyAlignment="1">
      <alignment horizontal="center" vertical="center" wrapText="1"/>
    </xf>
    <xf numFmtId="164" fontId="5" fillId="8" borderId="5" xfId="1" applyNumberFormat="1" applyFont="1" applyFill="1" applyBorder="1" applyAlignment="1">
      <alignment horizontal="center" vertical="center" wrapText="1"/>
    </xf>
    <xf numFmtId="164" fontId="5" fillId="8" borderId="6" xfId="1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left" vertical="center" indent="1"/>
    </xf>
    <xf numFmtId="0" fontId="5" fillId="8" borderId="6" xfId="0" applyFont="1" applyFill="1" applyBorder="1" applyAlignment="1">
      <alignment horizontal="left" vertical="center" indent="1"/>
    </xf>
    <xf numFmtId="164" fontId="5" fillId="8" borderId="5" xfId="1" applyNumberFormat="1" applyFont="1" applyFill="1" applyBorder="1" applyAlignment="1">
      <alignment horizontal="center" vertical="center"/>
    </xf>
    <xf numFmtId="164" fontId="5" fillId="8" borderId="6" xfId="1" applyNumberFormat="1" applyFont="1" applyFill="1" applyBorder="1" applyAlignment="1">
      <alignment horizontal="center" vertical="center"/>
    </xf>
    <xf numFmtId="164" fontId="12" fillId="8" borderId="5" xfId="1" applyNumberFormat="1" applyFont="1" applyFill="1" applyBorder="1" applyAlignment="1">
      <alignment horizontal="center" vertical="center"/>
    </xf>
    <xf numFmtId="164" fontId="12" fillId="8" borderId="6" xfId="1" applyNumberFormat="1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465667</xdr:colOff>
      <xdr:row>8</xdr:row>
      <xdr:rowOff>21166</xdr:rowOff>
    </xdr:from>
    <xdr:to>
      <xdr:col>17</xdr:col>
      <xdr:colOff>73027</xdr:colOff>
      <xdr:row>27</xdr:row>
      <xdr:rowOff>30692</xdr:rowOff>
    </xdr:to>
    <xdr:sp macro="" textlink="">
      <xdr:nvSpPr>
        <xdr:cNvPr id="2" name="Rounded Rectangle 1"/>
        <xdr:cNvSpPr/>
      </xdr:nvSpPr>
      <xdr:spPr>
        <a:xfrm>
          <a:off x="15848542" y="1659466"/>
          <a:ext cx="5198535" cy="39624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Diamond_Opsi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9</xdr:col>
      <xdr:colOff>476249</xdr:colOff>
      <xdr:row>37</xdr:row>
      <xdr:rowOff>154781</xdr:rowOff>
    </xdr:from>
    <xdr:to>
      <xdr:col>17</xdr:col>
      <xdr:colOff>85990</xdr:colOff>
      <xdr:row>56</xdr:row>
      <xdr:rowOff>164307</xdr:rowOff>
    </xdr:to>
    <xdr:sp macro="" textlink="">
      <xdr:nvSpPr>
        <xdr:cNvPr id="3" name="Rounded Rectangle 2"/>
        <xdr:cNvSpPr/>
      </xdr:nvSpPr>
      <xdr:spPr>
        <a:xfrm>
          <a:off x="15859124" y="8089106"/>
          <a:ext cx="5200916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V.Dia_Opsi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9</xdr:col>
      <xdr:colOff>547687</xdr:colOff>
      <xdr:row>67</xdr:row>
      <xdr:rowOff>59531</xdr:rowOff>
    </xdr:from>
    <xdr:to>
      <xdr:col>17</xdr:col>
      <xdr:colOff>157428</xdr:colOff>
      <xdr:row>86</xdr:row>
      <xdr:rowOff>69057</xdr:rowOff>
    </xdr:to>
    <xdr:sp macro="" textlink="">
      <xdr:nvSpPr>
        <xdr:cNvPr id="4" name="Rounded Rectangle 3"/>
        <xdr:cNvSpPr/>
      </xdr:nvSpPr>
      <xdr:spPr>
        <a:xfrm>
          <a:off x="15930562" y="14451806"/>
          <a:ext cx="5200916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V.Dia Tactical_Opsi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0</xdr:colOff>
      <xdr:row>97</xdr:row>
      <xdr:rowOff>95250</xdr:rowOff>
    </xdr:from>
    <xdr:to>
      <xdr:col>17</xdr:col>
      <xdr:colOff>216959</xdr:colOff>
      <xdr:row>116</xdr:row>
      <xdr:rowOff>104776</xdr:rowOff>
    </xdr:to>
    <xdr:sp macro="" textlink="">
      <xdr:nvSpPr>
        <xdr:cNvPr id="5" name="Rounded Rectangle 4"/>
        <xdr:cNvSpPr/>
      </xdr:nvSpPr>
      <xdr:spPr>
        <a:xfrm>
          <a:off x="16297275" y="20745450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V.Plat_Opsi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130969</xdr:colOff>
      <xdr:row>128</xdr:row>
      <xdr:rowOff>59532</xdr:rowOff>
    </xdr:from>
    <xdr:to>
      <xdr:col>17</xdr:col>
      <xdr:colOff>347928</xdr:colOff>
      <xdr:row>147</xdr:row>
      <xdr:rowOff>69058</xdr:rowOff>
    </xdr:to>
    <xdr:sp macro="" textlink="">
      <xdr:nvSpPr>
        <xdr:cNvPr id="6" name="Rounded Rectangle 5"/>
        <xdr:cNvSpPr/>
      </xdr:nvSpPr>
      <xdr:spPr>
        <a:xfrm>
          <a:off x="16428244" y="27377232"/>
          <a:ext cx="4893734" cy="39624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Tier1_PM12 BBM_Opsi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190501</xdr:colOff>
      <xdr:row>157</xdr:row>
      <xdr:rowOff>166688</xdr:rowOff>
    </xdr:from>
    <xdr:to>
      <xdr:col>17</xdr:col>
      <xdr:colOff>407460</xdr:colOff>
      <xdr:row>176</xdr:row>
      <xdr:rowOff>0</xdr:rowOff>
    </xdr:to>
    <xdr:sp macro="" textlink="">
      <xdr:nvSpPr>
        <xdr:cNvPr id="7" name="Rounded Rectangle 6"/>
        <xdr:cNvSpPr/>
      </xdr:nvSpPr>
      <xdr:spPr>
        <a:xfrm>
          <a:off x="16487776" y="33504188"/>
          <a:ext cx="4893734" cy="3814762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178594</xdr:colOff>
      <xdr:row>217</xdr:row>
      <xdr:rowOff>95250</xdr:rowOff>
    </xdr:from>
    <xdr:to>
      <xdr:col>17</xdr:col>
      <xdr:colOff>395553</xdr:colOff>
      <xdr:row>236</xdr:row>
      <xdr:rowOff>104776</xdr:rowOff>
    </xdr:to>
    <xdr:sp macro="" textlink="">
      <xdr:nvSpPr>
        <xdr:cNvPr id="8" name="Rounded Rectangle 7"/>
        <xdr:cNvSpPr/>
      </xdr:nvSpPr>
      <xdr:spPr>
        <a:xfrm>
          <a:off x="16475869" y="46291500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Tier1_PM102 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277</xdr:row>
      <xdr:rowOff>166687</xdr:rowOff>
    </xdr:from>
    <xdr:to>
      <xdr:col>17</xdr:col>
      <xdr:colOff>526522</xdr:colOff>
      <xdr:row>296</xdr:row>
      <xdr:rowOff>176213</xdr:rowOff>
    </xdr:to>
    <xdr:sp macro="" textlink="">
      <xdr:nvSpPr>
        <xdr:cNvPr id="9" name="Rounded Rectangle 8"/>
        <xdr:cNvSpPr/>
      </xdr:nvSpPr>
      <xdr:spPr>
        <a:xfrm>
          <a:off x="16606838" y="58859737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178594</xdr:colOff>
      <xdr:row>187</xdr:row>
      <xdr:rowOff>95250</xdr:rowOff>
    </xdr:from>
    <xdr:to>
      <xdr:col>17</xdr:col>
      <xdr:colOff>395553</xdr:colOff>
      <xdr:row>206</xdr:row>
      <xdr:rowOff>104776</xdr:rowOff>
    </xdr:to>
    <xdr:sp macro="" textlink="">
      <xdr:nvSpPr>
        <xdr:cNvPr id="10" name="Rounded Rectangle 9"/>
        <xdr:cNvSpPr/>
      </xdr:nvSpPr>
      <xdr:spPr>
        <a:xfrm>
          <a:off x="16475869" y="39862125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Tier1_PM102 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307</xdr:row>
      <xdr:rowOff>166687</xdr:rowOff>
    </xdr:from>
    <xdr:to>
      <xdr:col>17</xdr:col>
      <xdr:colOff>526522</xdr:colOff>
      <xdr:row>326</xdr:row>
      <xdr:rowOff>176213</xdr:rowOff>
    </xdr:to>
    <xdr:sp macro="" textlink="">
      <xdr:nvSpPr>
        <xdr:cNvPr id="11" name="Rounded Rectangle 10"/>
        <xdr:cNvSpPr/>
      </xdr:nvSpPr>
      <xdr:spPr>
        <a:xfrm>
          <a:off x="16606838" y="65117662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178594</xdr:colOff>
      <xdr:row>247</xdr:row>
      <xdr:rowOff>95250</xdr:rowOff>
    </xdr:from>
    <xdr:to>
      <xdr:col>17</xdr:col>
      <xdr:colOff>395553</xdr:colOff>
      <xdr:row>266</xdr:row>
      <xdr:rowOff>104776</xdr:rowOff>
    </xdr:to>
    <xdr:sp macro="" textlink="">
      <xdr:nvSpPr>
        <xdr:cNvPr id="12" name="Rounded Rectangle 11"/>
        <xdr:cNvSpPr/>
      </xdr:nvSpPr>
      <xdr:spPr>
        <a:xfrm>
          <a:off x="16475869" y="52530375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Tier1_PM102 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337</xdr:row>
      <xdr:rowOff>166687</xdr:rowOff>
    </xdr:from>
    <xdr:to>
      <xdr:col>17</xdr:col>
      <xdr:colOff>526522</xdr:colOff>
      <xdr:row>352</xdr:row>
      <xdr:rowOff>0</xdr:rowOff>
    </xdr:to>
    <xdr:sp macro="" textlink="">
      <xdr:nvSpPr>
        <xdr:cNvPr id="13" name="Rounded Rectangle 12"/>
        <xdr:cNvSpPr/>
      </xdr:nvSpPr>
      <xdr:spPr>
        <a:xfrm>
          <a:off x="16606838" y="71375587"/>
          <a:ext cx="48937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397</xdr:row>
      <xdr:rowOff>166687</xdr:rowOff>
    </xdr:from>
    <xdr:to>
      <xdr:col>17</xdr:col>
      <xdr:colOff>526522</xdr:colOff>
      <xdr:row>412</xdr:row>
      <xdr:rowOff>0</xdr:rowOff>
    </xdr:to>
    <xdr:sp macro="" textlink="">
      <xdr:nvSpPr>
        <xdr:cNvPr id="14" name="Rounded Rectangle 13"/>
        <xdr:cNvSpPr/>
      </xdr:nvSpPr>
      <xdr:spPr>
        <a:xfrm>
          <a:off x="16606838" y="83824762"/>
          <a:ext cx="48937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427</xdr:row>
      <xdr:rowOff>166687</xdr:rowOff>
    </xdr:from>
    <xdr:to>
      <xdr:col>17</xdr:col>
      <xdr:colOff>526522</xdr:colOff>
      <xdr:row>442</xdr:row>
      <xdr:rowOff>0</xdr:rowOff>
    </xdr:to>
    <xdr:sp macro="" textlink="">
      <xdr:nvSpPr>
        <xdr:cNvPr id="15" name="Rounded Rectangle 14"/>
        <xdr:cNvSpPr/>
      </xdr:nvSpPr>
      <xdr:spPr>
        <a:xfrm>
          <a:off x="16606838" y="90054112"/>
          <a:ext cx="4893734" cy="2605088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190496</xdr:colOff>
      <xdr:row>7</xdr:row>
      <xdr:rowOff>123824</xdr:rowOff>
    </xdr:from>
    <xdr:to>
      <xdr:col>17</xdr:col>
      <xdr:colOff>407456</xdr:colOff>
      <xdr:row>23</xdr:row>
      <xdr:rowOff>190500</xdr:rowOff>
    </xdr:to>
    <xdr:sp macro="" textlink="">
      <xdr:nvSpPr>
        <xdr:cNvPr id="2" name="Rounded Rectangle 1"/>
        <xdr:cNvSpPr/>
      </xdr:nvSpPr>
      <xdr:spPr>
        <a:xfrm>
          <a:off x="13582646" y="1523999"/>
          <a:ext cx="4455585" cy="3390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Diamond_Opsi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37</xdr:row>
      <xdr:rowOff>179917</xdr:rowOff>
    </xdr:from>
    <xdr:to>
      <xdr:col>17</xdr:col>
      <xdr:colOff>370417</xdr:colOff>
      <xdr:row>56</xdr:row>
      <xdr:rowOff>189442</xdr:rowOff>
    </xdr:to>
    <xdr:sp macro="" textlink="">
      <xdr:nvSpPr>
        <xdr:cNvPr id="3" name="Rounded Rectangle 2"/>
        <xdr:cNvSpPr/>
      </xdr:nvSpPr>
      <xdr:spPr>
        <a:xfrm>
          <a:off x="13572067" y="7838017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Diamond_Opsi A</a:t>
          </a:r>
        </a:p>
        <a:p>
          <a:pPr algn="l"/>
          <a:endParaRPr lang="id-ID" sz="1100" b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  <a:p>
          <a:endParaRPr lang="id-ID">
            <a:effectLst/>
          </a:endParaRPr>
        </a:p>
      </xdr:txBody>
    </xdr:sp>
    <xdr:clientData/>
  </xdr:twoCellAnchor>
  <xdr:twoCellAnchor>
    <xdr:from>
      <xdr:col>10</xdr:col>
      <xdr:colOff>148167</xdr:colOff>
      <xdr:row>67</xdr:row>
      <xdr:rowOff>116417</xdr:rowOff>
    </xdr:from>
    <xdr:to>
      <xdr:col>17</xdr:col>
      <xdr:colOff>338667</xdr:colOff>
      <xdr:row>86</xdr:row>
      <xdr:rowOff>125942</xdr:rowOff>
    </xdr:to>
    <xdr:sp macro="" textlink="">
      <xdr:nvSpPr>
        <xdr:cNvPr id="4" name="Rounded Rectangle 3"/>
        <xdr:cNvSpPr/>
      </xdr:nvSpPr>
      <xdr:spPr>
        <a:xfrm>
          <a:off x="13540317" y="14061017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r>
            <a:rPr lang="id-ID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Bagi</a:t>
          </a: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Penulisan di remark ticket u/ perpanjangan PM :</a:t>
          </a:r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TierX_Nama Promo_OpsiX</a:t>
          </a:r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Contoh : Tier1_PM5+1 V.Plat_Opsi A</a:t>
          </a:r>
        </a:p>
        <a:p>
          <a:endParaRPr lang="id-ID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97</xdr:row>
      <xdr:rowOff>169333</xdr:rowOff>
    </xdr:from>
    <xdr:to>
      <xdr:col>17</xdr:col>
      <xdr:colOff>370417</xdr:colOff>
      <xdr:row>116</xdr:row>
      <xdr:rowOff>178858</xdr:rowOff>
    </xdr:to>
    <xdr:sp macro="" textlink="">
      <xdr:nvSpPr>
        <xdr:cNvPr id="5" name="Rounded Rectangle 4"/>
        <xdr:cNvSpPr/>
      </xdr:nvSpPr>
      <xdr:spPr>
        <a:xfrm>
          <a:off x="13572067" y="20400433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158</xdr:row>
      <xdr:rowOff>1</xdr:rowOff>
    </xdr:from>
    <xdr:to>
      <xdr:col>17</xdr:col>
      <xdr:colOff>370417</xdr:colOff>
      <xdr:row>172</xdr:row>
      <xdr:rowOff>83344</xdr:rowOff>
    </xdr:to>
    <xdr:sp macro="" textlink="">
      <xdr:nvSpPr>
        <xdr:cNvPr id="6" name="Rounded Rectangle 5"/>
        <xdr:cNvSpPr/>
      </xdr:nvSpPr>
      <xdr:spPr>
        <a:xfrm>
          <a:off x="13572067" y="33013651"/>
          <a:ext cx="4429125" cy="301704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Tier1_PM6 Gold+ 99K_Opsi A</a:t>
          </a:r>
        </a:p>
        <a:p>
          <a:pPr algn="l"/>
          <a:endParaRPr lang="id-ID" sz="1100" b="1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 sesuai masa PM pelanggan.</a:t>
          </a:r>
          <a:endParaRPr lang="id-ID">
            <a:effectLst/>
          </a:endParaRPr>
        </a:p>
        <a:p>
          <a:pPr algn="l"/>
          <a:endParaRPr lang="id-ID" sz="1100" b="1"/>
        </a:p>
      </xdr:txBody>
    </xdr:sp>
    <xdr:clientData/>
  </xdr:twoCellAnchor>
  <xdr:twoCellAnchor>
    <xdr:from>
      <xdr:col>10</xdr:col>
      <xdr:colOff>254000</xdr:colOff>
      <xdr:row>217</xdr:row>
      <xdr:rowOff>169333</xdr:rowOff>
    </xdr:from>
    <xdr:to>
      <xdr:col>17</xdr:col>
      <xdr:colOff>444500</xdr:colOff>
      <xdr:row>236</xdr:row>
      <xdr:rowOff>178858</xdr:rowOff>
    </xdr:to>
    <xdr:sp macro="" textlink="">
      <xdr:nvSpPr>
        <xdr:cNvPr id="7" name="Rounded Rectangle 6"/>
        <xdr:cNvSpPr/>
      </xdr:nvSpPr>
      <xdr:spPr>
        <a:xfrm>
          <a:off x="13646150" y="45546433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V.Gold+ 99K_Opsi A</a:t>
          </a:r>
        </a:p>
        <a:p>
          <a:pPr algn="l"/>
          <a:endParaRPr lang="id-ID" sz="1100" b="1" baseline="0"/>
        </a:p>
        <a:p>
          <a:pPr eaLnBrk="1" fontAlgn="auto" latinLnBrk="0" hangingPunct="1"/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 sesuai masa PM pelanggan.</a:t>
          </a:r>
          <a:endParaRPr lang="en-US">
            <a:effectLst/>
          </a:endParaRPr>
        </a:p>
      </xdr:txBody>
    </xdr:sp>
    <xdr:clientData/>
  </xdr:twoCellAnchor>
  <xdr:twoCellAnchor>
    <xdr:from>
      <xdr:col>10</xdr:col>
      <xdr:colOff>179917</xdr:colOff>
      <xdr:row>127</xdr:row>
      <xdr:rowOff>169333</xdr:rowOff>
    </xdr:from>
    <xdr:to>
      <xdr:col>17</xdr:col>
      <xdr:colOff>370417</xdr:colOff>
      <xdr:row>146</xdr:row>
      <xdr:rowOff>178858</xdr:rowOff>
    </xdr:to>
    <xdr:sp macro="" textlink="">
      <xdr:nvSpPr>
        <xdr:cNvPr id="8" name="Rounded Rectangle 7"/>
        <xdr:cNvSpPr/>
      </xdr:nvSpPr>
      <xdr:spPr>
        <a:xfrm>
          <a:off x="13572067" y="26686933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188</xdr:row>
      <xdr:rowOff>0</xdr:rowOff>
    </xdr:from>
    <xdr:to>
      <xdr:col>17</xdr:col>
      <xdr:colOff>370417</xdr:colOff>
      <xdr:row>207</xdr:row>
      <xdr:rowOff>9526</xdr:rowOff>
    </xdr:to>
    <xdr:sp macro="" textlink="">
      <xdr:nvSpPr>
        <xdr:cNvPr id="9" name="Rounded Rectangle 8"/>
        <xdr:cNvSpPr/>
      </xdr:nvSpPr>
      <xdr:spPr>
        <a:xfrm>
          <a:off x="13572067" y="39300150"/>
          <a:ext cx="4429125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Tier1_PM6 Gold+ 99K_Opsi A</a:t>
          </a:r>
        </a:p>
        <a:p>
          <a:pPr algn="l"/>
          <a:endParaRPr lang="id-ID" sz="1100" b="1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 sesuai masa PM pelanggan.</a:t>
          </a:r>
          <a:endParaRPr lang="id-ID">
            <a:effectLst/>
          </a:endParaRPr>
        </a:p>
        <a:p>
          <a:pPr algn="l"/>
          <a:endParaRPr lang="id-ID" sz="1100" b="1"/>
        </a:p>
      </xdr:txBody>
    </xdr:sp>
    <xdr:clientData/>
  </xdr:twoCellAnchor>
  <xdr:twoCellAnchor>
    <xdr:from>
      <xdr:col>10</xdr:col>
      <xdr:colOff>202413</xdr:colOff>
      <xdr:row>247</xdr:row>
      <xdr:rowOff>166687</xdr:rowOff>
    </xdr:from>
    <xdr:to>
      <xdr:col>18</xdr:col>
      <xdr:colOff>50279</xdr:colOff>
      <xdr:row>262</xdr:row>
      <xdr:rowOff>0</xdr:rowOff>
    </xdr:to>
    <xdr:sp macro="" textlink="">
      <xdr:nvSpPr>
        <xdr:cNvPr id="10" name="Rounded Rectangle 9"/>
        <xdr:cNvSpPr/>
      </xdr:nvSpPr>
      <xdr:spPr>
        <a:xfrm>
          <a:off x="13594563" y="51830287"/>
          <a:ext cx="4696091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11</xdr:col>
      <xdr:colOff>309563</xdr:colOff>
      <xdr:row>307</xdr:row>
      <xdr:rowOff>166687</xdr:rowOff>
    </xdr:from>
    <xdr:to>
      <xdr:col>18</xdr:col>
      <xdr:colOff>526522</xdr:colOff>
      <xdr:row>322</xdr:row>
      <xdr:rowOff>0</xdr:rowOff>
    </xdr:to>
    <xdr:sp macro="" textlink="">
      <xdr:nvSpPr>
        <xdr:cNvPr id="11" name="Rounded Rectangle 10"/>
        <xdr:cNvSpPr/>
      </xdr:nvSpPr>
      <xdr:spPr>
        <a:xfrm>
          <a:off x="14177963" y="64374712"/>
          <a:ext cx="45889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11</xdr:col>
      <xdr:colOff>309563</xdr:colOff>
      <xdr:row>337</xdr:row>
      <xdr:rowOff>166687</xdr:rowOff>
    </xdr:from>
    <xdr:to>
      <xdr:col>18</xdr:col>
      <xdr:colOff>526522</xdr:colOff>
      <xdr:row>352</xdr:row>
      <xdr:rowOff>0</xdr:rowOff>
    </xdr:to>
    <xdr:sp macro="" textlink="">
      <xdr:nvSpPr>
        <xdr:cNvPr id="12" name="Rounded Rectangle 11"/>
        <xdr:cNvSpPr/>
      </xdr:nvSpPr>
      <xdr:spPr>
        <a:xfrm>
          <a:off x="14177963" y="70632637"/>
          <a:ext cx="45889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11</xdr:col>
      <xdr:colOff>309563</xdr:colOff>
      <xdr:row>277</xdr:row>
      <xdr:rowOff>166687</xdr:rowOff>
    </xdr:from>
    <xdr:to>
      <xdr:col>18</xdr:col>
      <xdr:colOff>526522</xdr:colOff>
      <xdr:row>292</xdr:row>
      <xdr:rowOff>0</xdr:rowOff>
    </xdr:to>
    <xdr:sp macro="" textlink="">
      <xdr:nvSpPr>
        <xdr:cNvPr id="13" name="Rounded Rectangle 12"/>
        <xdr:cNvSpPr/>
      </xdr:nvSpPr>
      <xdr:spPr>
        <a:xfrm>
          <a:off x="14177963" y="58088212"/>
          <a:ext cx="45889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179917</xdr:colOff>
      <xdr:row>7</xdr:row>
      <xdr:rowOff>169333</xdr:rowOff>
    </xdr:from>
    <xdr:to>
      <xdr:col>14</xdr:col>
      <xdr:colOff>370417</xdr:colOff>
      <xdr:row>24</xdr:row>
      <xdr:rowOff>178593</xdr:rowOff>
    </xdr:to>
    <xdr:sp macro="" textlink="">
      <xdr:nvSpPr>
        <xdr:cNvPr id="2" name="Rounded Rectangle 1"/>
        <xdr:cNvSpPr/>
      </xdr:nvSpPr>
      <xdr:spPr>
        <a:xfrm>
          <a:off x="13686367" y="1569508"/>
          <a:ext cx="4324350" cy="357161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7</xdr:col>
      <xdr:colOff>179917</xdr:colOff>
      <xdr:row>37</xdr:row>
      <xdr:rowOff>169333</xdr:rowOff>
    </xdr:from>
    <xdr:to>
      <xdr:col>14</xdr:col>
      <xdr:colOff>370417</xdr:colOff>
      <xdr:row>54</xdr:row>
      <xdr:rowOff>178593</xdr:rowOff>
    </xdr:to>
    <xdr:sp macro="" textlink="">
      <xdr:nvSpPr>
        <xdr:cNvPr id="3" name="Rounded Rectangle 2"/>
        <xdr:cNvSpPr/>
      </xdr:nvSpPr>
      <xdr:spPr>
        <a:xfrm>
          <a:off x="13686367" y="7856008"/>
          <a:ext cx="4324350" cy="357161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7</xdr:col>
      <xdr:colOff>179917</xdr:colOff>
      <xdr:row>67</xdr:row>
      <xdr:rowOff>169333</xdr:rowOff>
    </xdr:from>
    <xdr:to>
      <xdr:col>14</xdr:col>
      <xdr:colOff>370417</xdr:colOff>
      <xdr:row>84</xdr:row>
      <xdr:rowOff>178593</xdr:rowOff>
    </xdr:to>
    <xdr:sp macro="" textlink="">
      <xdr:nvSpPr>
        <xdr:cNvPr id="4" name="Rounded Rectangle 3"/>
        <xdr:cNvSpPr/>
      </xdr:nvSpPr>
      <xdr:spPr>
        <a:xfrm>
          <a:off x="13686367" y="14142508"/>
          <a:ext cx="4324350" cy="357161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37</xdr:row>
      <xdr:rowOff>42333</xdr:rowOff>
    </xdr:from>
    <xdr:to>
      <xdr:col>13</xdr:col>
      <xdr:colOff>488158</xdr:colOff>
      <xdr:row>55</xdr:row>
      <xdr:rowOff>0</xdr:rowOff>
    </xdr:to>
    <xdr:sp macro="" textlink="">
      <xdr:nvSpPr>
        <xdr:cNvPr id="2" name="Rounded Rectangle 1"/>
        <xdr:cNvSpPr/>
      </xdr:nvSpPr>
      <xdr:spPr>
        <a:xfrm>
          <a:off x="13671550" y="7767108"/>
          <a:ext cx="4142583" cy="3729567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6</xdr:col>
      <xdr:colOff>221721</xdr:colOff>
      <xdr:row>69</xdr:row>
      <xdr:rowOff>21167</xdr:rowOff>
    </xdr:from>
    <xdr:to>
      <xdr:col>13</xdr:col>
      <xdr:colOff>506679</xdr:colOff>
      <xdr:row>89</xdr:row>
      <xdr:rowOff>67735</xdr:rowOff>
    </xdr:to>
    <xdr:sp macro="" textlink="">
      <xdr:nvSpPr>
        <xdr:cNvPr id="3" name="Rounded Rectangle 2"/>
        <xdr:cNvSpPr/>
      </xdr:nvSpPr>
      <xdr:spPr>
        <a:xfrm>
          <a:off x="13642446" y="14337242"/>
          <a:ext cx="4190208" cy="413279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6</xdr:col>
      <xdr:colOff>317500</xdr:colOff>
      <xdr:row>7</xdr:row>
      <xdr:rowOff>42333</xdr:rowOff>
    </xdr:from>
    <xdr:to>
      <xdr:col>13</xdr:col>
      <xdr:colOff>488158</xdr:colOff>
      <xdr:row>25</xdr:row>
      <xdr:rowOff>0</xdr:rowOff>
    </xdr:to>
    <xdr:sp macro="" textlink="">
      <xdr:nvSpPr>
        <xdr:cNvPr id="4" name="Rounded Rectangle 3"/>
        <xdr:cNvSpPr/>
      </xdr:nvSpPr>
      <xdr:spPr>
        <a:xfrm>
          <a:off x="13671550" y="1509183"/>
          <a:ext cx="4142583" cy="3729567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15</xdr:row>
      <xdr:rowOff>361950</xdr:rowOff>
    </xdr:from>
    <xdr:to>
      <xdr:col>9</xdr:col>
      <xdr:colOff>304800</xdr:colOff>
      <xdr:row>17</xdr:row>
      <xdr:rowOff>28575</xdr:rowOff>
    </xdr:to>
    <xdr:sp macro="" textlink="">
      <xdr:nvSpPr>
        <xdr:cNvPr id="2" name="Right Arrow 1"/>
        <xdr:cNvSpPr/>
      </xdr:nvSpPr>
      <xdr:spPr>
        <a:xfrm>
          <a:off x="9305925" y="1695450"/>
          <a:ext cx="14287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oneCellAnchor>
    <xdr:from>
      <xdr:col>9</xdr:col>
      <xdr:colOff>409574</xdr:colOff>
      <xdr:row>15</xdr:row>
      <xdr:rowOff>66675</xdr:rowOff>
    </xdr:from>
    <xdr:ext cx="2638425" cy="953466"/>
    <xdr:sp macro="" textlink="">
      <xdr:nvSpPr>
        <xdr:cNvPr id="3" name="TextBox 2"/>
        <xdr:cNvSpPr txBox="1"/>
      </xdr:nvSpPr>
      <xdr:spPr>
        <a:xfrm>
          <a:off x="9553574" y="1400175"/>
          <a:ext cx="2638425" cy="953466"/>
        </a:xfrm>
        <a:prstGeom prst="rect">
          <a:avLst/>
        </a:prstGeom>
        <a:noFill/>
        <a:ln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d-ID" sz="1100"/>
            <a:t>Untuk promo PM3+1 Gold</a:t>
          </a:r>
          <a:r>
            <a:rPr lang="id-ID" sz="1100" baseline="0"/>
            <a:t> 199K tidak ada promo multidec PM3+1, jadi pelanggan harus menggunakan PM6 Multi 30 ribu</a:t>
          </a:r>
          <a:r>
            <a:rPr lang="en-US" sz="1100" baseline="0"/>
            <a:t>an</a:t>
          </a:r>
          <a:r>
            <a:rPr lang="id-ID" sz="1100" baseline="0"/>
            <a:t> u/ 6 bulan dan pada bulan ke 7 menjadi 50 r</a:t>
          </a:r>
          <a:r>
            <a:rPr lang="en-US" sz="1100" baseline="0"/>
            <a:t>i</a:t>
          </a:r>
          <a:r>
            <a:rPr lang="id-ID" sz="1100" baseline="0"/>
            <a:t>b</a:t>
          </a:r>
          <a:r>
            <a:rPr lang="en-US" sz="1100" baseline="0"/>
            <a:t>uan</a:t>
          </a:r>
          <a:r>
            <a:rPr lang="id-ID" sz="1100" baseline="0"/>
            <a:t> / bulan</a:t>
          </a:r>
          <a:endParaRPr lang="id-ID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30691</xdr:colOff>
      <xdr:row>17</xdr:row>
      <xdr:rowOff>165100</xdr:rowOff>
    </xdr:from>
    <xdr:ext cx="9237134" cy="2194720"/>
    <xdr:sp macro="" textlink="">
      <xdr:nvSpPr>
        <xdr:cNvPr id="2" name="TextBox 1"/>
        <xdr:cNvSpPr txBox="1"/>
      </xdr:nvSpPr>
      <xdr:spPr>
        <a:xfrm>
          <a:off x="30691" y="3317875"/>
          <a:ext cx="9237134" cy="21947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id-ID" sz="1200"/>
            <a:t>Catatan</a:t>
          </a:r>
          <a:r>
            <a:rPr lang="id-ID" sz="1200" baseline="0"/>
            <a:t> :</a:t>
          </a:r>
        </a:p>
        <a:p>
          <a:pPr>
            <a:lnSpc>
              <a:spcPct val="150000"/>
            </a:lnSpc>
          </a:pPr>
          <a:r>
            <a:rPr lang="id-ID" sz="1200" baseline="0"/>
            <a:t>1. Promo ini berlaku bagi pelanggan UKM yang menggunakan 1 Account ID ≥ 8 titik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</a:rPr>
            <a:t>2. Pelanggan bisa memilih promo sesuai ketentuan yang berlaku tier 1 atau tier 2, dan tidak bisa digabungkan 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</a:rPr>
            <a:t>3. Tidak ada pemberian bonus tayangan untuk pelanggan kategori tersebut diatas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</a:rPr>
            <a:t>4. Jika pelanggan memiliki tunggakan, maka mendapatkan benefit sisa tunggakan untuk dihapuskan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200" baseline="0">
              <a:effectLst/>
            </a:rPr>
            <a:t>5. </a:t>
          </a:r>
          <a:r>
            <a:rPr lang="id-ID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Permintaan menggunakan ticket perpanjangan PM dengan menjelaskan promo yang pelanggan pilih</a:t>
          </a:r>
          <a:endParaRPr lang="id-ID" sz="1200">
            <a:effectLst/>
          </a:endParaRPr>
        </a:p>
        <a:p>
          <a:pPr>
            <a:lnSpc>
              <a:spcPct val="150000"/>
            </a:lnSpc>
          </a:pPr>
          <a:endParaRPr lang="id-ID" sz="1200" baseline="0"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93</xdr:row>
      <xdr:rowOff>138903</xdr:rowOff>
    </xdr:from>
    <xdr:ext cx="14944990" cy="2587627"/>
    <xdr:sp macro="" textlink="">
      <xdr:nvSpPr>
        <xdr:cNvPr id="2" name="TextBox 1"/>
        <xdr:cNvSpPr txBox="1"/>
      </xdr:nvSpPr>
      <xdr:spPr>
        <a:xfrm>
          <a:off x="190500" y="18122103"/>
          <a:ext cx="14944990" cy="25876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id-ID" sz="1400"/>
            <a:t>Catatan</a:t>
          </a:r>
          <a:r>
            <a:rPr lang="id-ID" sz="1400" baseline="0"/>
            <a:t> :</a:t>
          </a:r>
        </a:p>
        <a:p>
          <a:pPr>
            <a:lnSpc>
              <a:spcPct val="150000"/>
            </a:lnSpc>
          </a:pPr>
          <a:r>
            <a:rPr lang="id-ID" sz="1400" baseline="0"/>
            <a:t>1. Yang dimaksud dengan UKM / Red Doorz tarif retail adalah pelanggan di kategori tersebut diatas yang menggunakan skema  1 Account memiliki maksimal 4 Dekoder</a:t>
          </a:r>
        </a:p>
        <a:p>
          <a:pPr>
            <a:lnSpc>
              <a:spcPct val="150000"/>
            </a:lnSpc>
          </a:pPr>
          <a:r>
            <a:rPr lang="id-ID" sz="1400" baseline="0">
              <a:effectLst/>
            </a:rPr>
            <a:t>2. Khusus pelanggan Red Doorz merupakan pelanggan Red Doorz yang sudah tidak berafiliasi / di atur pembayaran berlangganannya  oleh Red Doorz pusat</a:t>
          </a:r>
        </a:p>
        <a:p>
          <a:pPr>
            <a:lnSpc>
              <a:spcPct val="150000"/>
            </a:lnSpc>
          </a:pPr>
          <a:r>
            <a:rPr lang="id-ID" sz="1400" baseline="0">
              <a:effectLst/>
            </a:rPr>
            <a:t>3. Untuk pelanggan yang memilih promo Vaganza Silver, maka nilai harga STB utama &amp; STB multidecnya adalah sama</a:t>
          </a:r>
        </a:p>
        <a:p>
          <a:pPr>
            <a:lnSpc>
              <a:spcPct val="150000"/>
            </a:lnSpc>
          </a:pPr>
          <a:r>
            <a:rPr lang="id-ID" sz="1400" baseline="0">
              <a:effectLst/>
            </a:rPr>
            <a:t>4. Permintaan menggunakan ticket perpanjangan PM dengan menjelaskan promo yang pelanggan pilih</a:t>
          </a:r>
        </a:p>
        <a:p>
          <a:pPr>
            <a:lnSpc>
              <a:spcPct val="150000"/>
            </a:lnSpc>
          </a:pPr>
          <a:r>
            <a:rPr lang="id-ID" sz="1400" baseline="0">
              <a:solidFill>
                <a:sysClr val="windowText" lastClr="000000"/>
              </a:solidFill>
              <a:effectLst/>
            </a:rPr>
            <a:t>5. Jika menggunakan STB ITV, wajib membayarkan biaya rental PM dengan harga : PM12 ( 50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4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 rb ) PM6 (25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2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rb ) dan akan menjadi 50 r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i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b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uan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 perbulan setelah promo PM nya berakhir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202405</xdr:colOff>
      <xdr:row>35</xdr:row>
      <xdr:rowOff>95250</xdr:rowOff>
    </xdr:from>
    <xdr:ext cx="8286751" cy="2452688"/>
    <xdr:sp macro="" textlink="">
      <xdr:nvSpPr>
        <xdr:cNvPr id="3" name="TextBox 2"/>
        <xdr:cNvSpPr txBox="1"/>
      </xdr:nvSpPr>
      <xdr:spPr>
        <a:xfrm>
          <a:off x="202405" y="6834188"/>
          <a:ext cx="8286751" cy="245268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id-ID" sz="1200">
              <a:latin typeface="Arial" panose="020B0604020202020204" pitchFamily="34" charset="0"/>
              <a:cs typeface="Arial" panose="020B0604020202020204" pitchFamily="34" charset="0"/>
            </a:rPr>
            <a:t>Catatan</a:t>
          </a: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 :</a:t>
          </a:r>
        </a:p>
        <a:p>
          <a:pPr>
            <a:lnSpc>
              <a:spcPct val="150000"/>
            </a:lnSpc>
          </a:pP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1. Promo ini berlaku bagi pelanggan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DTH </a:t>
          </a: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UKM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SME </a:t>
          </a: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yang menggunakan 1 Account ID ≥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4</a:t>
          </a: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 titik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2. Pelanggan bisa memilih promo sesuai ketentuan yang berlaku tier 1, 2 atau tier 3, dan tidak bisa digabungkan 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3. Tidak ada pemberian bonus tayangan untuk pelanggan kategori tersebut diatas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4. Jika pelanggan memiliki tunggakan, maka mendapatkan benefit sisa tunggakan untuk dihapuskan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2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5. </a:t>
          </a:r>
          <a:r>
            <a:rPr lang="id-ID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Permintaan menggunakan ticket perpanjangan PM dengan menjelaskan promo yang pelanggan pilih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en-US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Semua harga sudah termasuk PPN 11%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d-ID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</a:pPr>
          <a:endParaRPr lang="id-ID" sz="1200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3"/>
  <sheetViews>
    <sheetView showGridLines="0" tabSelected="1" zoomScale="80" zoomScaleNormal="80" workbookViewId="0">
      <selection activeCell="B5" sqref="B5"/>
    </sheetView>
  </sheetViews>
  <sheetFormatPr defaultColWidth="9.140625" defaultRowHeight="14.25" x14ac:dyDescent="0.25"/>
  <cols>
    <col min="1" max="1" width="53.140625" style="1" customWidth="1"/>
    <col min="2" max="2" width="33.7109375" style="2" customWidth="1"/>
    <col min="3" max="3" width="1.140625" style="1" customWidth="1"/>
    <col min="4" max="4" width="43.140625" style="2" customWidth="1"/>
    <col min="5" max="5" width="43.5703125" style="2" customWidth="1"/>
    <col min="6" max="6" width="38.42578125" style="2" customWidth="1"/>
    <col min="7" max="7" width="38.140625" style="2" hidden="1" customWidth="1"/>
    <col min="8" max="8" width="1.85546875" style="1" customWidth="1"/>
    <col min="9" max="9" width="15.7109375" style="1" customWidth="1"/>
    <col min="10" max="11" width="13.7109375" style="1" bestFit="1" customWidth="1"/>
    <col min="12" max="12" width="10.7109375" style="1" bestFit="1" customWidth="1"/>
    <col min="13" max="16384" width="9.140625" style="1"/>
  </cols>
  <sheetData>
    <row r="1" spans="1:11" x14ac:dyDescent="0.25">
      <c r="J1" s="3"/>
      <c r="K1" s="3"/>
    </row>
    <row r="2" spans="1:11" ht="20.25" x14ac:dyDescent="0.25">
      <c r="A2" s="4" t="s">
        <v>0</v>
      </c>
      <c r="B2" s="5"/>
      <c r="C2" s="4"/>
      <c r="D2" s="5"/>
      <c r="E2" s="5"/>
      <c r="G2" s="5"/>
    </row>
    <row r="3" spans="1:11" x14ac:dyDescent="0.25">
      <c r="A3" s="6"/>
    </row>
    <row r="5" spans="1:11" ht="15" x14ac:dyDescent="0.25">
      <c r="B5" s="7" t="s">
        <v>1</v>
      </c>
      <c r="D5" s="96" t="s">
        <v>2</v>
      </c>
      <c r="E5" s="97"/>
      <c r="F5" s="98"/>
      <c r="G5" s="8"/>
    </row>
    <row r="6" spans="1:11" ht="15" x14ac:dyDescent="0.25">
      <c r="A6" s="9" t="s">
        <v>3</v>
      </c>
      <c r="B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</row>
    <row r="7" spans="1:11" ht="15" x14ac:dyDescent="0.25">
      <c r="A7" s="12" t="s">
        <v>9</v>
      </c>
      <c r="B7" s="13"/>
      <c r="D7" s="99" t="s">
        <v>10</v>
      </c>
      <c r="E7" s="100"/>
      <c r="F7" s="101"/>
      <c r="G7" s="13"/>
    </row>
    <row r="8" spans="1:11" ht="15" x14ac:dyDescent="0.25">
      <c r="A8" s="14" t="s">
        <v>11</v>
      </c>
      <c r="B8" s="15"/>
      <c r="D8" s="15" t="s">
        <v>12</v>
      </c>
      <c r="E8" s="15" t="s">
        <v>13</v>
      </c>
      <c r="F8" s="15" t="s">
        <v>14</v>
      </c>
      <c r="G8" s="15" t="s">
        <v>15</v>
      </c>
    </row>
    <row r="9" spans="1:11" x14ac:dyDescent="0.25">
      <c r="A9" s="16" t="s">
        <v>16</v>
      </c>
      <c r="B9" s="17">
        <v>402627.27309000003</v>
      </c>
      <c r="D9" s="17">
        <f>399000*100.909091%</f>
        <v>402627.27309000003</v>
      </c>
      <c r="E9" s="17">
        <f>299000*100.909091%</f>
        <v>301718.18209000002</v>
      </c>
      <c r="F9" s="17">
        <f>219000*100.909091%</f>
        <v>220990.90929000001</v>
      </c>
      <c r="G9" s="17">
        <v>200809.08989999999</v>
      </c>
    </row>
    <row r="10" spans="1:11" ht="15" x14ac:dyDescent="0.25">
      <c r="A10" s="18" t="s">
        <v>17</v>
      </c>
      <c r="B10" s="19">
        <v>3128181.821</v>
      </c>
      <c r="C10" s="20"/>
      <c r="D10" s="19">
        <f>3100000*100.909091%</f>
        <v>3128181.821</v>
      </c>
      <c r="E10" s="19">
        <f>2200000*100.909091%</f>
        <v>2220000.0020000003</v>
      </c>
      <c r="F10" s="19">
        <f>2190000*100.909091%</f>
        <v>2209909.0929</v>
      </c>
      <c r="G10" s="19">
        <v>2008090.899</v>
      </c>
    </row>
    <row r="11" spans="1:11" ht="15" x14ac:dyDescent="0.25">
      <c r="A11" s="18" t="s">
        <v>18</v>
      </c>
      <c r="B11" s="19"/>
      <c r="C11" s="20"/>
      <c r="D11" s="21"/>
      <c r="E11" s="19"/>
      <c r="F11" s="19"/>
      <c r="G11" s="19"/>
    </row>
    <row r="12" spans="1:11" s="24" customFormat="1" x14ac:dyDescent="0.25">
      <c r="A12" s="22" t="s">
        <v>19</v>
      </c>
      <c r="B12" s="23"/>
      <c r="D12" s="23" t="s">
        <v>20</v>
      </c>
      <c r="E12" s="23" t="s">
        <v>21</v>
      </c>
      <c r="F12" s="23" t="s">
        <v>22</v>
      </c>
      <c r="G12" s="23">
        <v>201818.17980000001</v>
      </c>
    </row>
    <row r="13" spans="1:11" s="24" customFormat="1" x14ac:dyDescent="0.25">
      <c r="A13" s="22" t="s">
        <v>23</v>
      </c>
      <c r="B13" s="23"/>
      <c r="D13" s="23" t="s">
        <v>20</v>
      </c>
      <c r="E13" s="23" t="s">
        <v>21</v>
      </c>
      <c r="F13" s="23" t="s">
        <v>22</v>
      </c>
      <c r="G13" s="23">
        <v>302726.97000000003</v>
      </c>
    </row>
    <row r="14" spans="1:11" s="24" customFormat="1" x14ac:dyDescent="0.25">
      <c r="A14" s="22" t="s">
        <v>24</v>
      </c>
      <c r="B14" s="23"/>
      <c r="D14" s="23" t="s">
        <v>20</v>
      </c>
      <c r="E14" s="23">
        <v>302726.96999999997</v>
      </c>
      <c r="F14" s="23" t="s">
        <v>25</v>
      </c>
      <c r="G14" s="23">
        <v>302726.97000000003</v>
      </c>
    </row>
    <row r="15" spans="1:11" s="6" customFormat="1" x14ac:dyDescent="0.25">
      <c r="A15" s="25" t="s">
        <v>26</v>
      </c>
      <c r="B15" s="26" t="s">
        <v>27</v>
      </c>
      <c r="D15" s="26" t="s">
        <v>27</v>
      </c>
      <c r="E15" s="26" t="s">
        <v>27</v>
      </c>
      <c r="F15" s="104" t="s">
        <v>28</v>
      </c>
      <c r="G15" s="26" t="s">
        <v>27</v>
      </c>
    </row>
    <row r="16" spans="1:11" s="6" customFormat="1" x14ac:dyDescent="0.25">
      <c r="A16" s="25" t="s">
        <v>29</v>
      </c>
      <c r="B16" s="26"/>
      <c r="D16" s="26"/>
      <c r="E16" s="26"/>
      <c r="F16" s="105"/>
      <c r="G16" s="26" t="s">
        <v>30</v>
      </c>
    </row>
    <row r="17" spans="1:7" ht="15" x14ac:dyDescent="0.25">
      <c r="A17" s="18" t="s">
        <v>31</v>
      </c>
      <c r="B17" s="19">
        <f>B9</f>
        <v>402627.27309000003</v>
      </c>
      <c r="C17" s="20"/>
      <c r="D17" s="19">
        <f>D9</f>
        <v>402627.27309000003</v>
      </c>
      <c r="E17" s="19">
        <f>E9</f>
        <v>301718.18209000002</v>
      </c>
      <c r="F17" s="19">
        <f>F9</f>
        <v>220990.90929000001</v>
      </c>
      <c r="G17" s="19">
        <f>G9</f>
        <v>200809.08989999999</v>
      </c>
    </row>
    <row r="18" spans="1:7" s="20" customFormat="1" ht="15" x14ac:dyDescent="0.25">
      <c r="A18" s="18" t="s">
        <v>32</v>
      </c>
      <c r="B18" s="19"/>
      <c r="D18" s="19"/>
      <c r="E18" s="19"/>
      <c r="F18" s="19"/>
      <c r="G18" s="19"/>
    </row>
    <row r="19" spans="1:7" s="24" customFormat="1" x14ac:dyDescent="0.25">
      <c r="A19" s="22" t="s">
        <v>19</v>
      </c>
      <c r="B19" s="23"/>
      <c r="D19" s="23" t="s">
        <v>22</v>
      </c>
      <c r="E19" s="23" t="s">
        <v>22</v>
      </c>
      <c r="F19" s="23" t="s">
        <v>33</v>
      </c>
      <c r="G19" s="23">
        <v>20181.820200000002</v>
      </c>
    </row>
    <row r="20" spans="1:7" s="24" customFormat="1" x14ac:dyDescent="0.25">
      <c r="A20" s="22" t="s">
        <v>23</v>
      </c>
      <c r="B20" s="23"/>
      <c r="D20" s="23" t="s">
        <v>22</v>
      </c>
      <c r="E20" s="23" t="s">
        <v>22</v>
      </c>
      <c r="F20" s="23" t="s">
        <v>33</v>
      </c>
      <c r="G20" s="23">
        <v>30272.730300000003</v>
      </c>
    </row>
    <row r="21" spans="1:7" s="24" customFormat="1" x14ac:dyDescent="0.25">
      <c r="A21" s="22" t="s">
        <v>24</v>
      </c>
      <c r="B21" s="23"/>
      <c r="D21" s="23">
        <v>50454.550500000005</v>
      </c>
      <c r="E21" s="23">
        <v>50454.550500000005</v>
      </c>
      <c r="F21" s="23">
        <v>50454.550500000005</v>
      </c>
      <c r="G21" s="23">
        <v>50454.550500000005</v>
      </c>
    </row>
    <row r="22" spans="1:7" ht="15" x14ac:dyDescent="0.25">
      <c r="A22" s="27" t="s">
        <v>34</v>
      </c>
      <c r="B22" s="28"/>
      <c r="C22" s="20"/>
      <c r="D22" s="28" t="s">
        <v>35</v>
      </c>
      <c r="E22" s="28" t="s">
        <v>35</v>
      </c>
      <c r="F22" s="28"/>
      <c r="G22" s="28">
        <v>302727.19200000004</v>
      </c>
    </row>
    <row r="23" spans="1:7" ht="15" x14ac:dyDescent="0.25">
      <c r="A23" s="29" t="s">
        <v>36</v>
      </c>
      <c r="B23" s="30"/>
      <c r="D23" s="30"/>
      <c r="E23" s="31"/>
      <c r="F23" s="30"/>
      <c r="G23" s="30"/>
    </row>
    <row r="24" spans="1:7" x14ac:dyDescent="0.25">
      <c r="A24" s="16" t="s">
        <v>37</v>
      </c>
      <c r="B24" s="17">
        <v>199500</v>
      </c>
      <c r="D24" s="17">
        <f>199500*100.909091%</f>
        <v>201313.63654500002</v>
      </c>
      <c r="E24" s="17">
        <f>199500*100.909091%</f>
        <v>201313.63654500002</v>
      </c>
      <c r="F24" s="17">
        <f>40000*100.909091%</f>
        <v>40363.636400000003</v>
      </c>
      <c r="G24" s="17">
        <f>50000*100.909091%</f>
        <v>50454.5455</v>
      </c>
    </row>
    <row r="25" spans="1:7" ht="15" x14ac:dyDescent="0.25">
      <c r="A25" s="18" t="s">
        <v>38</v>
      </c>
      <c r="B25" s="19">
        <v>900000</v>
      </c>
      <c r="C25" s="20"/>
      <c r="D25" s="19">
        <f>600000*100.909091%</f>
        <v>605454.54600000009</v>
      </c>
      <c r="E25" s="19">
        <f>600000*100.909091%</f>
        <v>605454.54600000009</v>
      </c>
      <c r="F25" s="19">
        <f>400000*100.909091%</f>
        <v>403636.364</v>
      </c>
      <c r="G25" s="19">
        <f>600000*100.909091%</f>
        <v>605454.54600000009</v>
      </c>
    </row>
    <row r="26" spans="1:7" ht="15" x14ac:dyDescent="0.25">
      <c r="A26" s="18" t="s">
        <v>39</v>
      </c>
      <c r="B26" s="17"/>
      <c r="D26" s="23" t="s">
        <v>22</v>
      </c>
      <c r="E26" s="23" t="s">
        <v>22</v>
      </c>
      <c r="F26" s="23" t="s">
        <v>22</v>
      </c>
      <c r="G26" s="23" t="s">
        <v>22</v>
      </c>
    </row>
    <row r="27" spans="1:7" s="6" customFormat="1" x14ac:dyDescent="0.25">
      <c r="A27" s="25" t="s">
        <v>40</v>
      </c>
      <c r="B27" s="26" t="s">
        <v>27</v>
      </c>
      <c r="D27" s="26"/>
      <c r="E27" s="26"/>
      <c r="F27" s="26"/>
      <c r="G27" s="26"/>
    </row>
    <row r="28" spans="1:7" s="6" customFormat="1" x14ac:dyDescent="0.25">
      <c r="A28" s="25" t="s">
        <v>41</v>
      </c>
      <c r="B28" s="26"/>
      <c r="D28" s="26"/>
      <c r="E28" s="26"/>
      <c r="F28" s="26"/>
      <c r="G28" s="26"/>
    </row>
    <row r="29" spans="1:7" x14ac:dyDescent="0.25">
      <c r="A29" s="16" t="s">
        <v>31</v>
      </c>
      <c r="B29" s="17">
        <f>B24</f>
        <v>199500</v>
      </c>
      <c r="D29" s="17">
        <f>D24</f>
        <v>201313.63654500002</v>
      </c>
      <c r="E29" s="17">
        <f>E24</f>
        <v>201313.63654500002</v>
      </c>
      <c r="F29" s="17">
        <f>F24</f>
        <v>40363.636400000003</v>
      </c>
      <c r="G29" s="17">
        <f>G24</f>
        <v>50454.5455</v>
      </c>
    </row>
    <row r="30" spans="1:7" x14ac:dyDescent="0.25">
      <c r="A30" s="16" t="s">
        <v>42</v>
      </c>
      <c r="B30" s="17"/>
      <c r="D30" s="23"/>
      <c r="E30" s="23"/>
      <c r="F30" s="23"/>
      <c r="G30" s="23"/>
    </row>
    <row r="31" spans="1:7" s="24" customFormat="1" x14ac:dyDescent="0.25">
      <c r="A31" s="22" t="s">
        <v>43</v>
      </c>
      <c r="B31" s="23"/>
      <c r="D31" s="23" t="s">
        <v>22</v>
      </c>
      <c r="E31" s="23" t="s">
        <v>22</v>
      </c>
      <c r="F31" s="23" t="s">
        <v>22</v>
      </c>
      <c r="G31" s="23" t="s">
        <v>22</v>
      </c>
    </row>
    <row r="32" spans="1:7" s="24" customFormat="1" x14ac:dyDescent="0.25">
      <c r="A32" s="22" t="s">
        <v>44</v>
      </c>
      <c r="B32" s="23"/>
      <c r="D32" s="23" t="s">
        <v>22</v>
      </c>
      <c r="E32" s="23" t="s">
        <v>22</v>
      </c>
      <c r="F32" s="23" t="s">
        <v>22</v>
      </c>
      <c r="G32" s="23" t="s">
        <v>22</v>
      </c>
    </row>
    <row r="33" spans="1:7" s="24" customFormat="1" x14ac:dyDescent="0.25">
      <c r="A33" s="22" t="s">
        <v>45</v>
      </c>
      <c r="B33" s="23"/>
      <c r="D33" s="23">
        <v>50454.550500000005</v>
      </c>
      <c r="E33" s="23">
        <v>50454.550500000005</v>
      </c>
      <c r="F33" s="23">
        <v>50454.550500000005</v>
      </c>
      <c r="G33" s="23">
        <v>50454.550500000005</v>
      </c>
    </row>
    <row r="35" spans="1:7" ht="15" x14ac:dyDescent="0.25">
      <c r="B35" s="7" t="s">
        <v>1</v>
      </c>
      <c r="D35" s="96" t="s">
        <v>2</v>
      </c>
      <c r="E35" s="97"/>
      <c r="F35" s="98"/>
      <c r="G35" s="8"/>
    </row>
    <row r="36" spans="1:7" ht="15" x14ac:dyDescent="0.25">
      <c r="A36" s="9" t="s">
        <v>3</v>
      </c>
      <c r="B36" s="32" t="s">
        <v>46</v>
      </c>
      <c r="D36" s="10" t="s">
        <v>5</v>
      </c>
      <c r="E36" s="10" t="s">
        <v>6</v>
      </c>
      <c r="F36" s="10" t="s">
        <v>7</v>
      </c>
      <c r="G36" s="11" t="s">
        <v>8</v>
      </c>
    </row>
    <row r="37" spans="1:7" ht="15" x14ac:dyDescent="0.25">
      <c r="A37" s="12" t="s">
        <v>9</v>
      </c>
      <c r="B37" s="13"/>
      <c r="D37" s="99" t="s">
        <v>10</v>
      </c>
      <c r="E37" s="100"/>
      <c r="F37" s="101"/>
      <c r="G37" s="13"/>
    </row>
    <row r="38" spans="1:7" ht="15" x14ac:dyDescent="0.25">
      <c r="A38" s="14" t="s">
        <v>11</v>
      </c>
      <c r="B38" s="15"/>
      <c r="D38" s="15" t="s">
        <v>47</v>
      </c>
      <c r="E38" s="15" t="s">
        <v>48</v>
      </c>
      <c r="F38" s="15" t="s">
        <v>49</v>
      </c>
      <c r="G38" s="15" t="s">
        <v>15</v>
      </c>
    </row>
    <row r="39" spans="1:7" x14ac:dyDescent="0.25">
      <c r="A39" s="16" t="s">
        <v>16</v>
      </c>
      <c r="B39" s="17">
        <v>301718.18209000002</v>
      </c>
      <c r="D39" s="17">
        <f>299000*100.909091%</f>
        <v>301718.18209000002</v>
      </c>
      <c r="E39" s="17">
        <f>299000*100.909091%</f>
        <v>301718.18209000002</v>
      </c>
      <c r="F39" s="17">
        <f>299000*100.909091%</f>
        <v>301718.18209000002</v>
      </c>
      <c r="G39" s="17">
        <f>199000*100.909091%</f>
        <v>200809.09109</v>
      </c>
    </row>
    <row r="40" spans="1:7" ht="15" x14ac:dyDescent="0.25">
      <c r="A40" s="18" t="s">
        <v>17</v>
      </c>
      <c r="B40" s="19">
        <v>3017181.8209000002</v>
      </c>
      <c r="C40" s="20"/>
      <c r="D40" s="19">
        <f>D39*10</f>
        <v>3017181.8209000002</v>
      </c>
      <c r="E40" s="19">
        <f>1495000*100.909091%</f>
        <v>1508590.9104500001</v>
      </c>
      <c r="F40" s="19">
        <f>2400000*100.909091%</f>
        <v>2421818.1840000004</v>
      </c>
      <c r="G40" s="19">
        <f>1990000*100.909091%</f>
        <v>2008090.9109</v>
      </c>
    </row>
    <row r="41" spans="1:7" ht="15" x14ac:dyDescent="0.25">
      <c r="A41" s="18" t="s">
        <v>18</v>
      </c>
      <c r="B41" s="19"/>
      <c r="C41" s="20"/>
      <c r="D41" s="19"/>
      <c r="E41" s="19"/>
      <c r="F41" s="19"/>
      <c r="G41" s="19"/>
    </row>
    <row r="42" spans="1:7" s="24" customFormat="1" x14ac:dyDescent="0.25">
      <c r="A42" s="22" t="s">
        <v>19</v>
      </c>
      <c r="B42" s="23"/>
      <c r="D42" s="23" t="s">
        <v>50</v>
      </c>
      <c r="E42" s="23" t="s">
        <v>51</v>
      </c>
      <c r="F42" s="23" t="s">
        <v>21</v>
      </c>
      <c r="G42" s="23">
        <v>201818.17980000001</v>
      </c>
    </row>
    <row r="43" spans="1:7" s="24" customFormat="1" x14ac:dyDescent="0.25">
      <c r="A43" s="22" t="s">
        <v>23</v>
      </c>
      <c r="B43" s="23"/>
      <c r="D43" s="23" t="s">
        <v>50</v>
      </c>
      <c r="E43" s="23" t="s">
        <v>51</v>
      </c>
      <c r="F43" s="23" t="s">
        <v>21</v>
      </c>
      <c r="G43" s="23">
        <v>302726.97000000003</v>
      </c>
    </row>
    <row r="44" spans="1:7" s="24" customFormat="1" x14ac:dyDescent="0.25">
      <c r="A44" s="22" t="s">
        <v>24</v>
      </c>
      <c r="B44" s="23"/>
      <c r="D44" s="23" t="s">
        <v>50</v>
      </c>
      <c r="E44" s="23">
        <v>181636.3596</v>
      </c>
      <c r="F44" s="23">
        <v>302726.96999999997</v>
      </c>
      <c r="G44" s="23">
        <v>302726.97000000003</v>
      </c>
    </row>
    <row r="45" spans="1:7" s="6" customFormat="1" x14ac:dyDescent="0.25">
      <c r="A45" s="25" t="s">
        <v>26</v>
      </c>
      <c r="B45" s="26" t="s">
        <v>27</v>
      </c>
      <c r="D45" s="26" t="s">
        <v>27</v>
      </c>
      <c r="E45" s="26" t="s">
        <v>52</v>
      </c>
      <c r="F45" s="26" t="s">
        <v>27</v>
      </c>
      <c r="G45" s="26" t="s">
        <v>27</v>
      </c>
    </row>
    <row r="46" spans="1:7" s="6" customFormat="1" x14ac:dyDescent="0.25">
      <c r="A46" s="25" t="s">
        <v>29</v>
      </c>
      <c r="B46" s="26"/>
      <c r="D46" s="33" t="s">
        <v>53</v>
      </c>
      <c r="E46" s="33" t="s">
        <v>54</v>
      </c>
      <c r="F46" s="33" t="s">
        <v>53</v>
      </c>
      <c r="G46" s="26" t="s">
        <v>30</v>
      </c>
    </row>
    <row r="47" spans="1:7" ht="15" x14ac:dyDescent="0.25">
      <c r="A47" s="18" t="s">
        <v>31</v>
      </c>
      <c r="B47" s="19">
        <f>B39</f>
        <v>301718.18209000002</v>
      </c>
      <c r="C47" s="20"/>
      <c r="D47" s="19">
        <f>D39</f>
        <v>301718.18209000002</v>
      </c>
      <c r="E47" s="19">
        <f>E39</f>
        <v>301718.18209000002</v>
      </c>
      <c r="F47" s="19">
        <f>F39</f>
        <v>301718.18209000002</v>
      </c>
      <c r="G47" s="19">
        <f>199000*100.909091%</f>
        <v>200809.09109</v>
      </c>
    </row>
    <row r="48" spans="1:7" s="20" customFormat="1" ht="15" x14ac:dyDescent="0.25">
      <c r="A48" s="18" t="s">
        <v>32</v>
      </c>
      <c r="B48" s="19"/>
      <c r="D48" s="19"/>
      <c r="E48" s="19"/>
      <c r="F48" s="19"/>
      <c r="G48" s="19"/>
    </row>
    <row r="49" spans="1:7" x14ac:dyDescent="0.25">
      <c r="A49" s="22" t="s">
        <v>19</v>
      </c>
      <c r="B49" s="23"/>
      <c r="C49" s="24"/>
      <c r="D49" s="23">
        <v>20181.820200000002</v>
      </c>
      <c r="E49" s="23">
        <v>20181.820200000002</v>
      </c>
      <c r="F49" s="23">
        <v>20181.820200000002</v>
      </c>
      <c r="G49" s="23">
        <v>20181.820200000002</v>
      </c>
    </row>
    <row r="50" spans="1:7" x14ac:dyDescent="0.25">
      <c r="A50" s="22" t="s">
        <v>23</v>
      </c>
      <c r="B50" s="23"/>
      <c r="C50" s="24"/>
      <c r="D50" s="23">
        <v>30272.730300000003</v>
      </c>
      <c r="E50" s="23">
        <v>30272.730300000003</v>
      </c>
      <c r="F50" s="23">
        <v>30272.730300000003</v>
      </c>
      <c r="G50" s="23">
        <v>30272.730300000003</v>
      </c>
    </row>
    <row r="51" spans="1:7" x14ac:dyDescent="0.25">
      <c r="A51" s="22" t="s">
        <v>24</v>
      </c>
      <c r="B51" s="23"/>
      <c r="C51" s="24"/>
      <c r="D51" s="23">
        <v>50454.550500000005</v>
      </c>
      <c r="E51" s="23">
        <v>50454.550500000005</v>
      </c>
      <c r="F51" s="23">
        <v>50454.550500000005</v>
      </c>
      <c r="G51" s="23">
        <v>50454.550500000005</v>
      </c>
    </row>
    <row r="52" spans="1:7" ht="15" x14ac:dyDescent="0.25">
      <c r="A52" s="27" t="s">
        <v>34</v>
      </c>
      <c r="B52" s="28"/>
      <c r="C52" s="20"/>
      <c r="D52" s="28"/>
      <c r="E52" s="28"/>
      <c r="F52" s="34">
        <v>302727.19199999998</v>
      </c>
      <c r="G52" s="28">
        <v>302727.19200000004</v>
      </c>
    </row>
    <row r="53" spans="1:7" ht="15" x14ac:dyDescent="0.25">
      <c r="A53" s="29" t="s">
        <v>36</v>
      </c>
      <c r="B53" s="30"/>
      <c r="D53" s="30"/>
      <c r="E53" s="30"/>
      <c r="F53" s="31"/>
      <c r="G53" s="30"/>
    </row>
    <row r="54" spans="1:7" x14ac:dyDescent="0.25">
      <c r="A54" s="16" t="s">
        <v>37</v>
      </c>
      <c r="B54" s="17">
        <v>199500</v>
      </c>
      <c r="D54" s="17">
        <f>99000*100.909091%</f>
        <v>99900.000090000001</v>
      </c>
      <c r="E54" s="17">
        <f>99000*100.909091%</f>
        <v>99900.000090000001</v>
      </c>
      <c r="F54" s="17">
        <f>99000*100.909091%</f>
        <v>99900.000090000001</v>
      </c>
      <c r="G54" s="17">
        <f>50000*100.909091%</f>
        <v>50454.5455</v>
      </c>
    </row>
    <row r="55" spans="1:7" ht="15" x14ac:dyDescent="0.25">
      <c r="A55" s="18" t="s">
        <v>38</v>
      </c>
      <c r="B55" s="19">
        <v>900000</v>
      </c>
      <c r="C55" s="20"/>
      <c r="D55" s="19">
        <f>600000*100.909091%</f>
        <v>605454.54600000009</v>
      </c>
      <c r="E55" s="19">
        <f>300000*100.909091%</f>
        <v>302727.27300000004</v>
      </c>
      <c r="F55" s="19">
        <f>600000*100.909091%</f>
        <v>605454.54600000009</v>
      </c>
      <c r="G55" s="19">
        <f>600000*100.909091%</f>
        <v>605454.54600000009</v>
      </c>
    </row>
    <row r="56" spans="1:7" ht="15" x14ac:dyDescent="0.25">
      <c r="A56" s="18" t="s">
        <v>39</v>
      </c>
      <c r="B56" s="17"/>
      <c r="D56" s="23" t="s">
        <v>22</v>
      </c>
      <c r="E56" s="23" t="s">
        <v>22</v>
      </c>
      <c r="F56" s="23" t="s">
        <v>22</v>
      </c>
      <c r="G56" s="23" t="s">
        <v>22</v>
      </c>
    </row>
    <row r="57" spans="1:7" s="6" customFormat="1" x14ac:dyDescent="0.25">
      <c r="A57" s="25" t="s">
        <v>40</v>
      </c>
      <c r="B57" s="26" t="s">
        <v>27</v>
      </c>
      <c r="D57" s="26"/>
      <c r="E57" s="26"/>
      <c r="F57" s="26"/>
      <c r="G57" s="26"/>
    </row>
    <row r="58" spans="1:7" s="6" customFormat="1" x14ac:dyDescent="0.25">
      <c r="A58" s="25" t="s">
        <v>41</v>
      </c>
      <c r="B58" s="26"/>
      <c r="D58" s="33" t="str">
        <f>D46</f>
        <v>All Channel 12 bulan</v>
      </c>
      <c r="E58" s="33" t="s">
        <v>54</v>
      </c>
      <c r="F58" s="26"/>
      <c r="G58" s="26"/>
    </row>
    <row r="59" spans="1:7" x14ac:dyDescent="0.25">
      <c r="A59" s="16" t="s">
        <v>31</v>
      </c>
      <c r="B59" s="17">
        <f>B50</f>
        <v>0</v>
      </c>
      <c r="D59" s="17">
        <f>D54</f>
        <v>99900.000090000001</v>
      </c>
      <c r="E59" s="17">
        <f>E54</f>
        <v>99900.000090000001</v>
      </c>
      <c r="F59" s="17">
        <f>F54</f>
        <v>99900.000090000001</v>
      </c>
      <c r="G59" s="17">
        <f>G54</f>
        <v>50454.5455</v>
      </c>
    </row>
    <row r="60" spans="1:7" x14ac:dyDescent="0.25">
      <c r="A60" s="16" t="s">
        <v>42</v>
      </c>
      <c r="B60" s="17"/>
      <c r="D60" s="23"/>
      <c r="E60" s="23"/>
      <c r="F60" s="23"/>
      <c r="G60" s="23"/>
    </row>
    <row r="61" spans="1:7" s="24" customFormat="1" x14ac:dyDescent="0.25">
      <c r="A61" s="22" t="s">
        <v>43</v>
      </c>
      <c r="B61" s="23"/>
      <c r="D61" s="23" t="s">
        <v>22</v>
      </c>
      <c r="E61" s="23" t="s">
        <v>22</v>
      </c>
      <c r="F61" s="23" t="s">
        <v>22</v>
      </c>
      <c r="G61" s="23" t="s">
        <v>22</v>
      </c>
    </row>
    <row r="62" spans="1:7" s="24" customFormat="1" x14ac:dyDescent="0.25">
      <c r="A62" s="22" t="s">
        <v>44</v>
      </c>
      <c r="B62" s="23"/>
      <c r="D62" s="23" t="s">
        <v>22</v>
      </c>
      <c r="E62" s="23" t="s">
        <v>22</v>
      </c>
      <c r="F62" s="23" t="s">
        <v>22</v>
      </c>
      <c r="G62" s="23" t="s">
        <v>22</v>
      </c>
    </row>
    <row r="63" spans="1:7" s="24" customFormat="1" x14ac:dyDescent="0.25">
      <c r="A63" s="22" t="s">
        <v>45</v>
      </c>
      <c r="B63" s="23"/>
      <c r="D63" s="23">
        <v>50454.550500000005</v>
      </c>
      <c r="E63" s="23">
        <v>50454.550500000005</v>
      </c>
      <c r="F63" s="23">
        <v>50454.550500000005</v>
      </c>
      <c r="G63" s="23">
        <v>50454.550500000005</v>
      </c>
    </row>
    <row r="64" spans="1:7" s="24" customFormat="1" x14ac:dyDescent="0.25">
      <c r="A64" s="35"/>
      <c r="B64" s="36"/>
      <c r="C64" s="1"/>
      <c r="D64" s="36"/>
      <c r="E64" s="36"/>
      <c r="F64" s="36"/>
      <c r="G64" s="36"/>
    </row>
    <row r="65" spans="1:7" ht="15" x14ac:dyDescent="0.25">
      <c r="B65" s="7" t="s">
        <v>1</v>
      </c>
      <c r="D65" s="96" t="s">
        <v>2</v>
      </c>
      <c r="E65" s="97"/>
      <c r="F65" s="98"/>
      <c r="G65" s="8"/>
    </row>
    <row r="66" spans="1:7" ht="60" x14ac:dyDescent="0.25">
      <c r="A66" s="9" t="s">
        <v>3</v>
      </c>
      <c r="B66" s="32" t="s">
        <v>55</v>
      </c>
      <c r="D66" s="10" t="s">
        <v>5</v>
      </c>
      <c r="E66" s="10" t="s">
        <v>6</v>
      </c>
      <c r="F66" s="10" t="s">
        <v>7</v>
      </c>
      <c r="G66" s="11" t="s">
        <v>8</v>
      </c>
    </row>
    <row r="67" spans="1:7" ht="15" x14ac:dyDescent="0.25">
      <c r="A67" s="12" t="s">
        <v>9</v>
      </c>
      <c r="B67" s="13"/>
      <c r="D67" s="99" t="s">
        <v>10</v>
      </c>
      <c r="E67" s="100"/>
      <c r="F67" s="101"/>
      <c r="G67" s="13"/>
    </row>
    <row r="68" spans="1:7" ht="15" x14ac:dyDescent="0.25">
      <c r="A68" s="14" t="s">
        <v>11</v>
      </c>
      <c r="B68" s="15"/>
      <c r="D68" s="15" t="s">
        <v>49</v>
      </c>
      <c r="E68" s="15" t="s">
        <v>48</v>
      </c>
      <c r="F68" s="15" t="s">
        <v>56</v>
      </c>
      <c r="G68" s="15" t="s">
        <v>15</v>
      </c>
    </row>
    <row r="69" spans="1:7" x14ac:dyDescent="0.25">
      <c r="A69" s="16" t="s">
        <v>16</v>
      </c>
      <c r="B69" s="17">
        <v>301718.18209000002</v>
      </c>
      <c r="D69" s="17">
        <f>299000*100.909091%</f>
        <v>301718.18209000002</v>
      </c>
      <c r="E69" s="17">
        <f>299000*100.909091%</f>
        <v>301718.18209000002</v>
      </c>
      <c r="F69" s="17">
        <f>299000*100.909091%</f>
        <v>301718.18209000002</v>
      </c>
      <c r="G69" s="17">
        <f>199000*100.909091%</f>
        <v>200809.09109</v>
      </c>
    </row>
    <row r="70" spans="1:7" ht="15" x14ac:dyDescent="0.25">
      <c r="A70" s="18" t="s">
        <v>17</v>
      </c>
      <c r="B70" s="19">
        <v>2421818.1840000004</v>
      </c>
      <c r="C70" s="20"/>
      <c r="D70" s="19">
        <f>2400000*100.909091%</f>
        <v>2421818.1840000004</v>
      </c>
      <c r="E70" s="19">
        <f>1495000*100.909091%</f>
        <v>1508590.9104500001</v>
      </c>
      <c r="F70" s="19">
        <f>2160000*100.909091%</f>
        <v>2179636.3656000001</v>
      </c>
      <c r="G70" s="19">
        <f>1990000*100.909091%</f>
        <v>2008090.9109</v>
      </c>
    </row>
    <row r="71" spans="1:7" ht="15" x14ac:dyDescent="0.25">
      <c r="A71" s="18" t="s">
        <v>18</v>
      </c>
      <c r="B71" s="19"/>
      <c r="C71" s="20"/>
      <c r="D71" s="19"/>
      <c r="E71" s="19"/>
      <c r="F71" s="19"/>
      <c r="G71" s="19"/>
    </row>
    <row r="72" spans="1:7" s="24" customFormat="1" x14ac:dyDescent="0.25">
      <c r="A72" s="22" t="s">
        <v>19</v>
      </c>
      <c r="B72" s="23"/>
      <c r="D72" s="23" t="s">
        <v>50</v>
      </c>
      <c r="E72" s="23" t="s">
        <v>51</v>
      </c>
      <c r="F72" s="23" t="s">
        <v>21</v>
      </c>
      <c r="G72" s="23">
        <v>201818.17980000001</v>
      </c>
    </row>
    <row r="73" spans="1:7" s="24" customFormat="1" x14ac:dyDescent="0.25">
      <c r="A73" s="22" t="s">
        <v>23</v>
      </c>
      <c r="B73" s="23"/>
      <c r="D73" s="23" t="s">
        <v>50</v>
      </c>
      <c r="E73" s="23" t="s">
        <v>51</v>
      </c>
      <c r="F73" s="23" t="s">
        <v>21</v>
      </c>
      <c r="G73" s="23">
        <v>302726.97000000003</v>
      </c>
    </row>
    <row r="74" spans="1:7" s="24" customFormat="1" x14ac:dyDescent="0.25">
      <c r="A74" s="22" t="s">
        <v>24</v>
      </c>
      <c r="B74" s="23"/>
      <c r="D74" s="23">
        <v>302726.97000000003</v>
      </c>
      <c r="E74" s="23">
        <v>181636.3596</v>
      </c>
      <c r="F74" s="23">
        <v>302726.97000000003</v>
      </c>
      <c r="G74" s="23">
        <v>302726.97000000003</v>
      </c>
    </row>
    <row r="75" spans="1:7" s="6" customFormat="1" x14ac:dyDescent="0.25">
      <c r="A75" s="25" t="s">
        <v>26</v>
      </c>
      <c r="B75" s="26" t="s">
        <v>27</v>
      </c>
      <c r="D75" s="26" t="s">
        <v>27</v>
      </c>
      <c r="E75" s="26" t="s">
        <v>52</v>
      </c>
      <c r="F75" s="26" t="s">
        <v>27</v>
      </c>
      <c r="G75" s="26" t="s">
        <v>27</v>
      </c>
    </row>
    <row r="76" spans="1:7" s="6" customFormat="1" x14ac:dyDescent="0.25">
      <c r="A76" s="25" t="s">
        <v>29</v>
      </c>
      <c r="B76" s="26"/>
      <c r="D76" s="33" t="s">
        <v>53</v>
      </c>
      <c r="E76" s="33" t="s">
        <v>57</v>
      </c>
      <c r="F76" s="33" t="s">
        <v>30</v>
      </c>
      <c r="G76" s="26" t="s">
        <v>30</v>
      </c>
    </row>
    <row r="77" spans="1:7" ht="15" x14ac:dyDescent="0.25">
      <c r="A77" s="18" t="s">
        <v>31</v>
      </c>
      <c r="B77" s="19">
        <f>B69</f>
        <v>301718.18209000002</v>
      </c>
      <c r="C77" s="20"/>
      <c r="D77" s="19">
        <f>D69</f>
        <v>301718.18209000002</v>
      </c>
      <c r="E77" s="19">
        <f>E69</f>
        <v>301718.18209000002</v>
      </c>
      <c r="F77" s="19">
        <f>F69</f>
        <v>301718.18209000002</v>
      </c>
      <c r="G77" s="19">
        <f>G69</f>
        <v>200809.09109</v>
      </c>
    </row>
    <row r="78" spans="1:7" s="20" customFormat="1" ht="15" x14ac:dyDescent="0.25">
      <c r="A78" s="18" t="s">
        <v>32</v>
      </c>
      <c r="B78" s="19"/>
      <c r="D78" s="19"/>
      <c r="E78" s="19"/>
      <c r="F78" s="19"/>
      <c r="G78" s="19"/>
    </row>
    <row r="79" spans="1:7" x14ac:dyDescent="0.25">
      <c r="A79" s="22" t="s">
        <v>19</v>
      </c>
      <c r="B79" s="23"/>
      <c r="C79" s="24"/>
      <c r="D79" s="23">
        <v>20181.820200000002</v>
      </c>
      <c r="E79" s="23">
        <v>20181.820200000002</v>
      </c>
      <c r="F79" s="23">
        <v>20181.820200000002</v>
      </c>
      <c r="G79" s="23">
        <v>20181.820200000002</v>
      </c>
    </row>
    <row r="80" spans="1:7" x14ac:dyDescent="0.25">
      <c r="A80" s="22" t="s">
        <v>23</v>
      </c>
      <c r="B80" s="23"/>
      <c r="C80" s="24"/>
      <c r="D80" s="23">
        <v>30272.730300000003</v>
      </c>
      <c r="E80" s="23">
        <v>30272.730300000003</v>
      </c>
      <c r="F80" s="23">
        <v>30272.730300000003</v>
      </c>
      <c r="G80" s="23">
        <v>30272.730300000003</v>
      </c>
    </row>
    <row r="81" spans="1:11" x14ac:dyDescent="0.25">
      <c r="A81" s="22" t="s">
        <v>24</v>
      </c>
      <c r="B81" s="23"/>
      <c r="C81" s="24"/>
      <c r="D81" s="23">
        <v>50454.550500000005</v>
      </c>
      <c r="E81" s="23">
        <v>50454.550500000005</v>
      </c>
      <c r="F81" s="23">
        <v>50454.550500000005</v>
      </c>
      <c r="G81" s="23">
        <v>50454.550500000005</v>
      </c>
    </row>
    <row r="82" spans="1:11" ht="15" x14ac:dyDescent="0.25">
      <c r="A82" s="27" t="s">
        <v>34</v>
      </c>
      <c r="B82" s="28"/>
      <c r="C82" s="20"/>
      <c r="D82" s="28"/>
      <c r="E82" s="28">
        <v>302727.19200000004</v>
      </c>
      <c r="F82" s="28">
        <v>605454.55050000001</v>
      </c>
      <c r="G82" s="28">
        <v>302727.19200000004</v>
      </c>
    </row>
    <row r="83" spans="1:11" ht="15" x14ac:dyDescent="0.25">
      <c r="A83" s="29" t="s">
        <v>36</v>
      </c>
      <c r="B83" s="30"/>
      <c r="D83" s="30"/>
      <c r="E83" s="30"/>
      <c r="F83" s="31"/>
      <c r="G83" s="30"/>
    </row>
    <row r="84" spans="1:11" x14ac:dyDescent="0.25">
      <c r="A84" s="16" t="s">
        <v>37</v>
      </c>
      <c r="B84" s="17">
        <v>99000</v>
      </c>
      <c r="D84" s="17">
        <f>99000*100.909091%</f>
        <v>99900.000090000001</v>
      </c>
      <c r="E84" s="17">
        <f>99000*100.909091%</f>
        <v>99900.000090000001</v>
      </c>
      <c r="F84" s="17">
        <f>99000*100.909091%</f>
        <v>99900.000090000001</v>
      </c>
      <c r="G84" s="17">
        <f>50000*100.909091%</f>
        <v>50454.5455</v>
      </c>
    </row>
    <row r="85" spans="1:11" ht="15" x14ac:dyDescent="0.25">
      <c r="A85" s="18" t="s">
        <v>38</v>
      </c>
      <c r="B85" s="19">
        <f>B84*10</f>
        <v>990000</v>
      </c>
      <c r="C85" s="20"/>
      <c r="D85" s="19">
        <f>600000*100.909091%</f>
        <v>605454.54600000009</v>
      </c>
      <c r="E85" s="19">
        <f>300000*100.909091%</f>
        <v>302727.27300000004</v>
      </c>
      <c r="F85" s="19">
        <f>600000*100.909091%</f>
        <v>605454.54600000009</v>
      </c>
      <c r="G85" s="19">
        <f>600000*100.909091%</f>
        <v>605454.54600000009</v>
      </c>
    </row>
    <row r="86" spans="1:11" ht="15" x14ac:dyDescent="0.25">
      <c r="A86" s="18" t="s">
        <v>39</v>
      </c>
      <c r="B86" s="17"/>
      <c r="D86" s="23" t="s">
        <v>22</v>
      </c>
      <c r="E86" s="23" t="s">
        <v>22</v>
      </c>
      <c r="F86" s="23" t="s">
        <v>22</v>
      </c>
      <c r="G86" s="23" t="s">
        <v>22</v>
      </c>
    </row>
    <row r="87" spans="1:11" s="6" customFormat="1" x14ac:dyDescent="0.25">
      <c r="A87" s="25" t="s">
        <v>40</v>
      </c>
      <c r="B87" s="26" t="s">
        <v>27</v>
      </c>
      <c r="D87" s="26"/>
      <c r="E87" s="26"/>
      <c r="F87" s="26"/>
      <c r="G87" s="26"/>
    </row>
    <row r="88" spans="1:11" s="6" customFormat="1" x14ac:dyDescent="0.25">
      <c r="A88" s="25" t="s">
        <v>41</v>
      </c>
      <c r="B88" s="26"/>
      <c r="D88" s="33" t="str">
        <f>D76</f>
        <v>All Channel 12 bulan</v>
      </c>
      <c r="E88" s="26"/>
      <c r="F88" s="26"/>
      <c r="G88" s="26"/>
    </row>
    <row r="89" spans="1:11" x14ac:dyDescent="0.25">
      <c r="A89" s="16" t="s">
        <v>31</v>
      </c>
      <c r="B89" s="17">
        <f>B84</f>
        <v>99000</v>
      </c>
      <c r="D89" s="17">
        <f>D84</f>
        <v>99900.000090000001</v>
      </c>
      <c r="E89" s="17">
        <f>E84</f>
        <v>99900.000090000001</v>
      </c>
      <c r="F89" s="17">
        <f>F84</f>
        <v>99900.000090000001</v>
      </c>
      <c r="G89" s="17">
        <f>G84</f>
        <v>50454.5455</v>
      </c>
      <c r="K89" s="3"/>
    </row>
    <row r="90" spans="1:11" x14ac:dyDescent="0.25">
      <c r="A90" s="16" t="s">
        <v>42</v>
      </c>
      <c r="B90" s="17"/>
      <c r="D90" s="23"/>
      <c r="E90" s="23"/>
      <c r="F90" s="23"/>
      <c r="G90" s="23"/>
    </row>
    <row r="91" spans="1:11" s="24" customFormat="1" x14ac:dyDescent="0.25">
      <c r="A91" s="22" t="s">
        <v>43</v>
      </c>
      <c r="B91" s="23"/>
      <c r="D91" s="23" t="s">
        <v>22</v>
      </c>
      <c r="E91" s="23" t="s">
        <v>22</v>
      </c>
      <c r="F91" s="23" t="s">
        <v>22</v>
      </c>
      <c r="G91" s="23" t="s">
        <v>22</v>
      </c>
    </row>
    <row r="92" spans="1:11" s="24" customFormat="1" x14ac:dyDescent="0.25">
      <c r="A92" s="22" t="s">
        <v>44</v>
      </c>
      <c r="B92" s="23"/>
      <c r="D92" s="23" t="s">
        <v>22</v>
      </c>
      <c r="E92" s="23" t="s">
        <v>22</v>
      </c>
      <c r="F92" s="23" t="s">
        <v>22</v>
      </c>
      <c r="G92" s="23" t="s">
        <v>22</v>
      </c>
    </row>
    <row r="93" spans="1:11" s="24" customFormat="1" x14ac:dyDescent="0.25">
      <c r="A93" s="22" t="s">
        <v>45</v>
      </c>
      <c r="B93" s="23"/>
      <c r="D93" s="23">
        <v>50454.550500000005</v>
      </c>
      <c r="E93" s="23">
        <v>50454.550500000005</v>
      </c>
      <c r="F93" s="23">
        <v>50454.550500000005</v>
      </c>
      <c r="G93" s="23">
        <v>50454.550500000005</v>
      </c>
    </row>
    <row r="95" spans="1:11" ht="15" x14ac:dyDescent="0.25">
      <c r="B95" s="7" t="s">
        <v>1</v>
      </c>
      <c r="D95" s="96" t="s">
        <v>2</v>
      </c>
      <c r="E95" s="97"/>
      <c r="F95" s="98"/>
      <c r="G95" s="8"/>
    </row>
    <row r="96" spans="1:11" ht="15" x14ac:dyDescent="0.25">
      <c r="A96" s="9" t="s">
        <v>3</v>
      </c>
      <c r="B96" s="10" t="s">
        <v>58</v>
      </c>
      <c r="D96" s="10" t="s">
        <v>5</v>
      </c>
      <c r="E96" s="10" t="s">
        <v>6</v>
      </c>
      <c r="F96" s="10" t="s">
        <v>7</v>
      </c>
      <c r="G96" s="11" t="s">
        <v>8</v>
      </c>
    </row>
    <row r="97" spans="1:7" ht="15" x14ac:dyDescent="0.25">
      <c r="A97" s="12" t="s">
        <v>9</v>
      </c>
      <c r="B97" s="13"/>
      <c r="D97" s="99" t="s">
        <v>59</v>
      </c>
      <c r="E97" s="100"/>
      <c r="F97" s="101"/>
      <c r="G97" s="13"/>
    </row>
    <row r="98" spans="1:7" ht="15" x14ac:dyDescent="0.25">
      <c r="A98" s="14" t="s">
        <v>11</v>
      </c>
      <c r="B98" s="15"/>
      <c r="D98" s="15" t="s">
        <v>60</v>
      </c>
      <c r="E98" s="15" t="s">
        <v>60</v>
      </c>
      <c r="F98" s="15" t="s">
        <v>61</v>
      </c>
      <c r="G98" s="15"/>
    </row>
    <row r="99" spans="1:7" x14ac:dyDescent="0.25">
      <c r="A99" s="16" t="s">
        <v>16</v>
      </c>
      <c r="B99" s="17">
        <v>200809.09109</v>
      </c>
      <c r="D99" s="17">
        <f>199000*100.909091%</f>
        <v>200809.09109</v>
      </c>
      <c r="E99" s="17">
        <f>199000*100.909091%</f>
        <v>200809.09109</v>
      </c>
      <c r="F99" s="17">
        <f>139000*100.909091%</f>
        <v>140263.63649</v>
      </c>
      <c r="G99" s="17"/>
    </row>
    <row r="100" spans="1:7" ht="15" x14ac:dyDescent="0.25">
      <c r="A100" s="18" t="s">
        <v>17</v>
      </c>
      <c r="B100" s="19">
        <v>2008090.9109</v>
      </c>
      <c r="C100" s="20"/>
      <c r="D100" s="19">
        <f>1990000*100.909091%</f>
        <v>2008090.9109</v>
      </c>
      <c r="E100" s="19">
        <f>1790000*100.909091%</f>
        <v>1806272.7289000002</v>
      </c>
      <c r="F100" s="19">
        <f>1300000*100.909091%</f>
        <v>1311818.1830000002</v>
      </c>
      <c r="G100" s="19"/>
    </row>
    <row r="101" spans="1:7" ht="15" x14ac:dyDescent="0.25">
      <c r="A101" s="18" t="s">
        <v>18</v>
      </c>
      <c r="B101" s="19"/>
      <c r="C101" s="20"/>
      <c r="D101" s="19"/>
      <c r="E101" s="19"/>
      <c r="F101" s="19"/>
      <c r="G101" s="19"/>
    </row>
    <row r="102" spans="1:7" s="24" customFormat="1" x14ac:dyDescent="0.25">
      <c r="A102" s="22" t="s">
        <v>19</v>
      </c>
      <c r="B102" s="23"/>
      <c r="D102" s="23" t="s">
        <v>51</v>
      </c>
      <c r="E102" s="23" t="s">
        <v>51</v>
      </c>
      <c r="F102" s="23" t="s">
        <v>21</v>
      </c>
      <c r="G102" s="23"/>
    </row>
    <row r="103" spans="1:7" s="24" customFormat="1" x14ac:dyDescent="0.25">
      <c r="A103" s="22" t="s">
        <v>23</v>
      </c>
      <c r="B103" s="23"/>
      <c r="D103" s="23" t="s">
        <v>51</v>
      </c>
      <c r="E103" s="23" t="s">
        <v>51</v>
      </c>
      <c r="F103" s="23" t="s">
        <v>21</v>
      </c>
      <c r="G103" s="23"/>
    </row>
    <row r="104" spans="1:7" s="24" customFormat="1" x14ac:dyDescent="0.25">
      <c r="A104" s="22" t="s">
        <v>24</v>
      </c>
      <c r="B104" s="23"/>
      <c r="D104" s="23">
        <v>302726.97000000003</v>
      </c>
      <c r="E104" s="23">
        <v>302726.97000000003</v>
      </c>
      <c r="F104" s="23">
        <v>302726.97000000003</v>
      </c>
      <c r="G104" s="23"/>
    </row>
    <row r="105" spans="1:7" s="6" customFormat="1" x14ac:dyDescent="0.25">
      <c r="A105" s="25" t="s">
        <v>26</v>
      </c>
      <c r="B105" s="26" t="s">
        <v>27</v>
      </c>
      <c r="D105" s="26" t="s">
        <v>27</v>
      </c>
      <c r="E105" s="26" t="s">
        <v>27</v>
      </c>
      <c r="F105" s="26"/>
      <c r="G105" s="26"/>
    </row>
    <row r="106" spans="1:7" s="6" customFormat="1" x14ac:dyDescent="0.25">
      <c r="A106" s="25" t="s">
        <v>29</v>
      </c>
      <c r="B106" s="26"/>
      <c r="D106" s="26" t="s">
        <v>53</v>
      </c>
      <c r="E106" s="26" t="s">
        <v>62</v>
      </c>
      <c r="F106" s="26" t="s">
        <v>62</v>
      </c>
      <c r="G106" s="26"/>
    </row>
    <row r="107" spans="1:7" ht="15" x14ac:dyDescent="0.25">
      <c r="A107" s="18" t="s">
        <v>31</v>
      </c>
      <c r="B107" s="19">
        <v>199000</v>
      </c>
      <c r="C107" s="20"/>
      <c r="D107" s="19">
        <f>D99</f>
        <v>200809.09109</v>
      </c>
      <c r="E107" s="19">
        <f>E99</f>
        <v>200809.09109</v>
      </c>
      <c r="F107" s="19">
        <f>F99</f>
        <v>140263.63649</v>
      </c>
      <c r="G107" s="19"/>
    </row>
    <row r="108" spans="1:7" s="20" customFormat="1" ht="15" x14ac:dyDescent="0.25">
      <c r="A108" s="18" t="s">
        <v>32</v>
      </c>
      <c r="B108" s="19"/>
      <c r="D108" s="19"/>
      <c r="E108" s="19"/>
      <c r="F108" s="19"/>
      <c r="G108" s="19"/>
    </row>
    <row r="109" spans="1:7" x14ac:dyDescent="0.25">
      <c r="A109" s="22" t="s">
        <v>19</v>
      </c>
      <c r="B109" s="23"/>
      <c r="C109" s="24"/>
      <c r="D109" s="23">
        <v>20181.820200000002</v>
      </c>
      <c r="E109" s="23">
        <v>20181.820200000002</v>
      </c>
      <c r="F109" s="23">
        <v>20181.820200000002</v>
      </c>
      <c r="G109" s="23"/>
    </row>
    <row r="110" spans="1:7" x14ac:dyDescent="0.25">
      <c r="A110" s="22" t="s">
        <v>23</v>
      </c>
      <c r="B110" s="23"/>
      <c r="C110" s="24"/>
      <c r="D110" s="23">
        <v>30272.730300000003</v>
      </c>
      <c r="E110" s="23">
        <v>30272.730300000003</v>
      </c>
      <c r="F110" s="23">
        <v>30272.730300000003</v>
      </c>
      <c r="G110" s="23"/>
    </row>
    <row r="111" spans="1:7" x14ac:dyDescent="0.25">
      <c r="A111" s="22" t="s">
        <v>24</v>
      </c>
      <c r="B111" s="23"/>
      <c r="C111" s="24"/>
      <c r="D111" s="23">
        <v>50454.550500000005</v>
      </c>
      <c r="E111" s="23">
        <v>50454.550500000005</v>
      </c>
      <c r="F111" s="23">
        <v>50454.550500000005</v>
      </c>
      <c r="G111" s="23"/>
    </row>
    <row r="112" spans="1:7" ht="15" x14ac:dyDescent="0.25">
      <c r="A112" s="27" t="s">
        <v>63</v>
      </c>
      <c r="B112" s="28"/>
      <c r="C112" s="20"/>
      <c r="D112" s="28"/>
      <c r="E112" s="28">
        <v>302727.19200000004</v>
      </c>
      <c r="F112" s="28">
        <v>605454.55050000001</v>
      </c>
      <c r="G112" s="28"/>
    </row>
    <row r="113" spans="1:7" ht="15" x14ac:dyDescent="0.25">
      <c r="A113" s="29" t="s">
        <v>36</v>
      </c>
      <c r="B113" s="30"/>
      <c r="D113" s="30"/>
      <c r="E113" s="30"/>
      <c r="F113" s="30"/>
      <c r="G113" s="30"/>
    </row>
    <row r="114" spans="1:7" x14ac:dyDescent="0.25">
      <c r="A114" s="16" t="s">
        <v>37</v>
      </c>
      <c r="B114" s="17">
        <v>99000</v>
      </c>
      <c r="D114" s="17">
        <f>99000*100.909091%</f>
        <v>99900.000090000001</v>
      </c>
      <c r="E114" s="17">
        <f>99000*100.909091%</f>
        <v>99900.000090000001</v>
      </c>
      <c r="F114" s="17">
        <f>50000*100.909091%</f>
        <v>50454.5455</v>
      </c>
      <c r="G114" s="17"/>
    </row>
    <row r="115" spans="1:7" ht="15" x14ac:dyDescent="0.25">
      <c r="A115" s="18" t="s">
        <v>38</v>
      </c>
      <c r="B115" s="19">
        <v>990000</v>
      </c>
      <c r="C115" s="20"/>
      <c r="D115" s="19">
        <f>600000*100.909091%</f>
        <v>605454.54600000009</v>
      </c>
      <c r="E115" s="19">
        <f>600000*100.909091%</f>
        <v>605454.54600000009</v>
      </c>
      <c r="F115" s="19">
        <f>600000*100.909091%</f>
        <v>605454.54600000009</v>
      </c>
      <c r="G115" s="19"/>
    </row>
    <row r="116" spans="1:7" ht="15" x14ac:dyDescent="0.25">
      <c r="A116" s="18" t="s">
        <v>39</v>
      </c>
      <c r="B116" s="17"/>
      <c r="D116" s="23" t="s">
        <v>22</v>
      </c>
      <c r="E116" s="23" t="s">
        <v>22</v>
      </c>
      <c r="F116" s="23" t="s">
        <v>22</v>
      </c>
      <c r="G116" s="23"/>
    </row>
    <row r="117" spans="1:7" s="6" customFormat="1" x14ac:dyDescent="0.25">
      <c r="A117" s="25" t="s">
        <v>40</v>
      </c>
      <c r="B117" s="26" t="s">
        <v>27</v>
      </c>
      <c r="D117" s="26"/>
      <c r="E117" s="26"/>
      <c r="F117" s="26"/>
      <c r="G117" s="26"/>
    </row>
    <row r="118" spans="1:7" s="6" customFormat="1" x14ac:dyDescent="0.25">
      <c r="A118" s="25" t="s">
        <v>41</v>
      </c>
      <c r="B118" s="26"/>
      <c r="D118" s="26" t="s">
        <v>53</v>
      </c>
      <c r="E118" s="26" t="s">
        <v>64</v>
      </c>
      <c r="F118" s="26"/>
      <c r="G118" s="26"/>
    </row>
    <row r="119" spans="1:7" x14ac:dyDescent="0.25">
      <c r="A119" s="16" t="s">
        <v>31</v>
      </c>
      <c r="B119" s="17">
        <v>99000</v>
      </c>
      <c r="D119" s="17">
        <f>D114</f>
        <v>99900.000090000001</v>
      </c>
      <c r="E119" s="17">
        <f>E114</f>
        <v>99900.000090000001</v>
      </c>
      <c r="F119" s="17">
        <f>F114</f>
        <v>50454.5455</v>
      </c>
      <c r="G119" s="17"/>
    </row>
    <row r="120" spans="1:7" x14ac:dyDescent="0.25">
      <c r="A120" s="16" t="s">
        <v>42</v>
      </c>
      <c r="B120" s="17"/>
      <c r="D120" s="23"/>
      <c r="E120" s="23"/>
      <c r="F120" s="23"/>
      <c r="G120" s="23"/>
    </row>
    <row r="121" spans="1:7" s="24" customFormat="1" x14ac:dyDescent="0.25">
      <c r="A121" s="22" t="s">
        <v>43</v>
      </c>
      <c r="B121" s="23"/>
      <c r="D121" s="23" t="s">
        <v>22</v>
      </c>
      <c r="E121" s="23" t="s">
        <v>22</v>
      </c>
      <c r="F121" s="23" t="s">
        <v>22</v>
      </c>
      <c r="G121" s="23"/>
    </row>
    <row r="122" spans="1:7" s="24" customFormat="1" x14ac:dyDescent="0.25">
      <c r="A122" s="22" t="s">
        <v>44</v>
      </c>
      <c r="B122" s="23"/>
      <c r="D122" s="23" t="s">
        <v>22</v>
      </c>
      <c r="E122" s="23" t="s">
        <v>22</v>
      </c>
      <c r="F122" s="23" t="s">
        <v>22</v>
      </c>
      <c r="G122" s="23"/>
    </row>
    <row r="123" spans="1:7" s="24" customFormat="1" x14ac:dyDescent="0.25">
      <c r="A123" s="22" t="s">
        <v>45</v>
      </c>
      <c r="B123" s="23"/>
      <c r="D123" s="23">
        <v>50454.550500000005</v>
      </c>
      <c r="E123" s="23">
        <v>50454.550500000005</v>
      </c>
      <c r="F123" s="23">
        <v>50454.550500000005</v>
      </c>
      <c r="G123" s="23"/>
    </row>
    <row r="125" spans="1:7" ht="15" x14ac:dyDescent="0.25">
      <c r="B125" s="7" t="s">
        <v>1</v>
      </c>
      <c r="D125" s="96" t="s">
        <v>2</v>
      </c>
      <c r="E125" s="97"/>
      <c r="F125" s="98"/>
      <c r="G125" s="8"/>
    </row>
    <row r="126" spans="1:7" ht="15" x14ac:dyDescent="0.25">
      <c r="A126" s="9" t="s">
        <v>3</v>
      </c>
      <c r="B126" s="102" t="s">
        <v>65</v>
      </c>
      <c r="D126" s="10" t="s">
        <v>5</v>
      </c>
      <c r="E126" s="10" t="s">
        <v>6</v>
      </c>
      <c r="F126" s="10" t="s">
        <v>7</v>
      </c>
      <c r="G126" s="11" t="s">
        <v>8</v>
      </c>
    </row>
    <row r="127" spans="1:7" ht="15" x14ac:dyDescent="0.25">
      <c r="A127" s="12" t="s">
        <v>9</v>
      </c>
      <c r="B127" s="103"/>
      <c r="D127" s="99" t="s">
        <v>10</v>
      </c>
      <c r="E127" s="100"/>
      <c r="F127" s="37" t="s">
        <v>59</v>
      </c>
      <c r="G127" s="13"/>
    </row>
    <row r="128" spans="1:7" ht="15" x14ac:dyDescent="0.25">
      <c r="A128" s="14" t="s">
        <v>11</v>
      </c>
      <c r="B128" s="15"/>
      <c r="D128" s="38" t="s">
        <v>66</v>
      </c>
      <c r="E128" s="38" t="s">
        <v>67</v>
      </c>
      <c r="F128" s="15" t="s">
        <v>61</v>
      </c>
      <c r="G128" s="15" t="s">
        <v>15</v>
      </c>
    </row>
    <row r="129" spans="1:7" x14ac:dyDescent="0.25">
      <c r="A129" s="16" t="s">
        <v>16</v>
      </c>
      <c r="B129" s="17">
        <v>322101.81847200001</v>
      </c>
      <c r="D129" s="17">
        <f>319200*100.909091%</f>
        <v>322101.81847200001</v>
      </c>
      <c r="E129" s="17">
        <f>359100*100.909091%</f>
        <v>362364.54578100005</v>
      </c>
      <c r="F129" s="17">
        <f>139000*100.909091%</f>
        <v>140263.63649</v>
      </c>
      <c r="G129" s="17">
        <f>199000*100.909091%</f>
        <v>200809.09109</v>
      </c>
    </row>
    <row r="130" spans="1:7" ht="15" x14ac:dyDescent="0.25">
      <c r="A130" s="18" t="s">
        <v>17</v>
      </c>
      <c r="B130" s="19">
        <v>2119090.9110000003</v>
      </c>
      <c r="C130" s="20"/>
      <c r="D130" s="19">
        <f>2100000*100.909091%</f>
        <v>2119090.9110000003</v>
      </c>
      <c r="E130" s="19">
        <f>2200000*100.909091%</f>
        <v>2220000.0020000003</v>
      </c>
      <c r="F130" s="19">
        <f>1300000*100.909091%</f>
        <v>1311818.1830000002</v>
      </c>
      <c r="G130" s="19">
        <f>1990000*100.909091%</f>
        <v>2008090.9109</v>
      </c>
    </row>
    <row r="131" spans="1:7" ht="15" x14ac:dyDescent="0.25">
      <c r="A131" s="18" t="s">
        <v>18</v>
      </c>
      <c r="B131" s="19"/>
      <c r="C131" s="20"/>
      <c r="D131" s="19"/>
      <c r="E131" s="19"/>
      <c r="F131" s="19"/>
      <c r="G131" s="19"/>
    </row>
    <row r="132" spans="1:7" s="24" customFormat="1" x14ac:dyDescent="0.25">
      <c r="A132" s="22" t="s">
        <v>19</v>
      </c>
      <c r="B132" s="23"/>
      <c r="D132" s="23" t="s">
        <v>51</v>
      </c>
      <c r="E132" s="23" t="s">
        <v>21</v>
      </c>
      <c r="F132" s="23" t="s">
        <v>21</v>
      </c>
      <c r="G132" s="23">
        <v>201818.17980000001</v>
      </c>
    </row>
    <row r="133" spans="1:7" s="24" customFormat="1" x14ac:dyDescent="0.25">
      <c r="A133" s="22" t="s">
        <v>23</v>
      </c>
      <c r="B133" s="23"/>
      <c r="D133" s="23" t="s">
        <v>51</v>
      </c>
      <c r="E133" s="23" t="s">
        <v>21</v>
      </c>
      <c r="F133" s="23" t="s">
        <v>21</v>
      </c>
      <c r="G133" s="23">
        <v>302726.97000000003</v>
      </c>
    </row>
    <row r="134" spans="1:7" s="24" customFormat="1" x14ac:dyDescent="0.25">
      <c r="A134" s="22" t="s">
        <v>24</v>
      </c>
      <c r="B134" s="23"/>
      <c r="D134" s="23" t="s">
        <v>51</v>
      </c>
      <c r="E134" s="23" t="s">
        <v>21</v>
      </c>
      <c r="F134" s="23">
        <v>302726.97000000003</v>
      </c>
      <c r="G134" s="23">
        <v>302726.97000000003</v>
      </c>
    </row>
    <row r="135" spans="1:7" x14ac:dyDescent="0.25">
      <c r="A135" s="25" t="s">
        <v>26</v>
      </c>
      <c r="B135" s="26"/>
      <c r="C135" s="6"/>
      <c r="D135" s="26"/>
      <c r="E135" s="26" t="s">
        <v>27</v>
      </c>
      <c r="F135" s="26"/>
      <c r="G135" s="26" t="s">
        <v>27</v>
      </c>
    </row>
    <row r="136" spans="1:7" x14ac:dyDescent="0.25">
      <c r="A136" s="25" t="s">
        <v>29</v>
      </c>
      <c r="B136" s="26"/>
      <c r="C136" s="6"/>
      <c r="D136" s="26"/>
      <c r="E136" s="26"/>
      <c r="F136" s="39" t="s">
        <v>62</v>
      </c>
      <c r="G136" s="26" t="s">
        <v>30</v>
      </c>
    </row>
    <row r="137" spans="1:7" ht="15" x14ac:dyDescent="0.25">
      <c r="A137" s="18" t="s">
        <v>31</v>
      </c>
      <c r="B137" s="19">
        <f>B129</f>
        <v>322101.81847200001</v>
      </c>
      <c r="C137" s="20"/>
      <c r="D137" s="19">
        <f>D129</f>
        <v>322101.81847200001</v>
      </c>
      <c r="E137" s="19">
        <f>E129</f>
        <v>362364.54578100005</v>
      </c>
      <c r="F137" s="19">
        <f>F129</f>
        <v>140263.63649</v>
      </c>
      <c r="G137" s="19">
        <f>G129</f>
        <v>200809.09109</v>
      </c>
    </row>
    <row r="138" spans="1:7" s="20" customFormat="1" ht="15" x14ac:dyDescent="0.25">
      <c r="A138" s="18" t="s">
        <v>32</v>
      </c>
      <c r="B138" s="19"/>
      <c r="D138" s="19"/>
      <c r="E138" s="19"/>
      <c r="F138" s="19"/>
      <c r="G138" s="19"/>
    </row>
    <row r="139" spans="1:7" x14ac:dyDescent="0.25">
      <c r="A139" s="22" t="s">
        <v>19</v>
      </c>
      <c r="B139" s="23"/>
      <c r="C139" s="24"/>
      <c r="D139" s="23" t="s">
        <v>22</v>
      </c>
      <c r="E139" s="23" t="s">
        <v>22</v>
      </c>
      <c r="F139" s="23">
        <v>20181.820200000002</v>
      </c>
      <c r="G139" s="23">
        <v>20181.820200000002</v>
      </c>
    </row>
    <row r="140" spans="1:7" x14ac:dyDescent="0.25">
      <c r="A140" s="22" t="s">
        <v>23</v>
      </c>
      <c r="B140" s="23"/>
      <c r="C140" s="24"/>
      <c r="D140" s="23" t="s">
        <v>22</v>
      </c>
      <c r="E140" s="23" t="s">
        <v>22</v>
      </c>
      <c r="F140" s="23">
        <v>30272.730300000003</v>
      </c>
      <c r="G140" s="23">
        <v>30272.730300000003</v>
      </c>
    </row>
    <row r="141" spans="1:7" x14ac:dyDescent="0.25">
      <c r="A141" s="22" t="s">
        <v>24</v>
      </c>
      <c r="B141" s="23"/>
      <c r="C141" s="24"/>
      <c r="D141" s="23">
        <v>50454.550500000005</v>
      </c>
      <c r="E141" s="23">
        <v>50454.550500000005</v>
      </c>
      <c r="F141" s="23">
        <v>50454.550500000005</v>
      </c>
      <c r="G141" s="23">
        <v>50454.550500000005</v>
      </c>
    </row>
    <row r="142" spans="1:7" ht="15" x14ac:dyDescent="0.25">
      <c r="A142" s="27" t="s">
        <v>34</v>
      </c>
      <c r="B142" s="28"/>
      <c r="C142" s="20"/>
      <c r="D142" s="28"/>
      <c r="E142" s="28"/>
      <c r="F142" s="28">
        <v>605454.55050000001</v>
      </c>
      <c r="G142" s="28">
        <v>302727.19200000004</v>
      </c>
    </row>
    <row r="143" spans="1:7" ht="15" x14ac:dyDescent="0.25">
      <c r="A143" s="29" t="s">
        <v>36</v>
      </c>
      <c r="B143" s="30"/>
      <c r="D143" s="30"/>
      <c r="E143" s="31"/>
      <c r="F143" s="31"/>
      <c r="G143" s="30"/>
    </row>
    <row r="144" spans="1:7" x14ac:dyDescent="0.25">
      <c r="A144" s="16" t="s">
        <v>37</v>
      </c>
      <c r="B144" s="17">
        <f>399000/2</f>
        <v>199500</v>
      </c>
      <c r="D144" s="17">
        <f>199500*100.909091%</f>
        <v>201313.63654500002</v>
      </c>
      <c r="E144" s="17">
        <f>199500*100.909091%</f>
        <v>201313.63654500002</v>
      </c>
      <c r="F144" s="17">
        <f>50000*100.909091%</f>
        <v>50454.5455</v>
      </c>
      <c r="G144" s="17">
        <f>50000*100.909091%</f>
        <v>50454.5455</v>
      </c>
    </row>
    <row r="145" spans="1:12" s="20" customFormat="1" ht="17.100000000000001" customHeight="1" x14ac:dyDescent="0.25">
      <c r="A145" s="18" t="s">
        <v>38</v>
      </c>
      <c r="B145" s="19">
        <v>1200000</v>
      </c>
      <c r="D145" s="19">
        <f>600000*100.909091%</f>
        <v>605454.54600000009</v>
      </c>
      <c r="E145" s="19">
        <f>600000*100.909091%</f>
        <v>605454.54600000009</v>
      </c>
      <c r="F145" s="19">
        <f>600000*100.909091%</f>
        <v>605454.54600000009</v>
      </c>
      <c r="G145" s="19">
        <f>600000*100.909091%</f>
        <v>605454.54600000009</v>
      </c>
    </row>
    <row r="146" spans="1:12" ht="17.100000000000001" customHeight="1" x14ac:dyDescent="0.25">
      <c r="A146" s="18" t="s">
        <v>39</v>
      </c>
      <c r="B146" s="17"/>
      <c r="D146" s="23" t="s">
        <v>22</v>
      </c>
      <c r="E146" s="23" t="s">
        <v>22</v>
      </c>
      <c r="F146" s="23" t="s">
        <v>22</v>
      </c>
      <c r="G146" s="23" t="s">
        <v>22</v>
      </c>
    </row>
    <row r="147" spans="1:12" ht="17.100000000000001" customHeight="1" x14ac:dyDescent="0.25">
      <c r="A147" s="25" t="s">
        <v>40</v>
      </c>
      <c r="B147" s="26"/>
      <c r="C147" s="6"/>
      <c r="D147" s="26"/>
      <c r="E147" s="26"/>
      <c r="F147" s="26"/>
      <c r="G147" s="26"/>
    </row>
    <row r="148" spans="1:12" ht="17.100000000000001" customHeight="1" x14ac:dyDescent="0.25">
      <c r="A148" s="25" t="s">
        <v>41</v>
      </c>
      <c r="B148" s="26"/>
      <c r="C148" s="6"/>
      <c r="D148" s="26"/>
      <c r="E148" s="26"/>
      <c r="F148" s="26"/>
      <c r="G148" s="26"/>
    </row>
    <row r="149" spans="1:12" ht="17.100000000000001" customHeight="1" x14ac:dyDescent="0.25">
      <c r="A149" s="16" t="s">
        <v>31</v>
      </c>
      <c r="B149" s="17">
        <f>B144</f>
        <v>199500</v>
      </c>
      <c r="D149" s="17">
        <f>D144</f>
        <v>201313.63654500002</v>
      </c>
      <c r="E149" s="17">
        <f>E144</f>
        <v>201313.63654500002</v>
      </c>
      <c r="F149" s="17">
        <f>F144</f>
        <v>50454.5455</v>
      </c>
      <c r="G149" s="17">
        <f>G144</f>
        <v>50454.5455</v>
      </c>
    </row>
    <row r="150" spans="1:12" ht="17.100000000000001" customHeight="1" x14ac:dyDescent="0.25">
      <c r="A150" s="16" t="s">
        <v>42</v>
      </c>
      <c r="B150" s="17"/>
      <c r="D150" s="23"/>
      <c r="E150" s="23"/>
      <c r="F150" s="23"/>
      <c r="G150" s="23"/>
    </row>
    <row r="151" spans="1:12" s="24" customFormat="1" ht="17.100000000000001" customHeight="1" x14ac:dyDescent="0.25">
      <c r="A151" s="22" t="s">
        <v>43</v>
      </c>
      <c r="B151" s="23"/>
      <c r="D151" s="23" t="s">
        <v>22</v>
      </c>
      <c r="E151" s="23" t="s">
        <v>22</v>
      </c>
      <c r="F151" s="23" t="s">
        <v>22</v>
      </c>
      <c r="G151" s="23" t="s">
        <v>22</v>
      </c>
    </row>
    <row r="152" spans="1:12" s="24" customFormat="1" ht="17.100000000000001" customHeight="1" x14ac:dyDescent="0.25">
      <c r="A152" s="22" t="s">
        <v>44</v>
      </c>
      <c r="B152" s="23"/>
      <c r="D152" s="23" t="s">
        <v>22</v>
      </c>
      <c r="E152" s="23" t="s">
        <v>22</v>
      </c>
      <c r="F152" s="23" t="s">
        <v>22</v>
      </c>
      <c r="G152" s="23" t="s">
        <v>22</v>
      </c>
    </row>
    <row r="153" spans="1:12" s="24" customFormat="1" ht="17.100000000000001" customHeight="1" x14ac:dyDescent="0.25">
      <c r="A153" s="22" t="s">
        <v>45</v>
      </c>
      <c r="B153" s="23"/>
      <c r="D153" s="23">
        <v>50454.550500000005</v>
      </c>
      <c r="E153" s="23">
        <v>50454.550500000005</v>
      </c>
      <c r="F153" s="23">
        <v>50454.550500000005</v>
      </c>
      <c r="G153" s="23">
        <v>50454.550500000005</v>
      </c>
    </row>
    <row r="155" spans="1:12" ht="17.100000000000001" customHeight="1" x14ac:dyDescent="0.25">
      <c r="B155" s="7" t="s">
        <v>1</v>
      </c>
      <c r="D155" s="96" t="s">
        <v>2</v>
      </c>
      <c r="E155" s="97"/>
      <c r="F155" s="98"/>
      <c r="G155" s="8"/>
      <c r="L155" s="40"/>
    </row>
    <row r="156" spans="1:12" ht="17.100000000000001" customHeight="1" x14ac:dyDescent="0.25">
      <c r="A156" s="9" t="s">
        <v>3</v>
      </c>
      <c r="B156" s="10" t="s">
        <v>68</v>
      </c>
      <c r="D156" s="10" t="s">
        <v>5</v>
      </c>
      <c r="E156" s="10" t="s">
        <v>6</v>
      </c>
      <c r="F156" s="10" t="s">
        <v>7</v>
      </c>
      <c r="G156" s="11" t="s">
        <v>8</v>
      </c>
    </row>
    <row r="157" spans="1:12" ht="17.100000000000001" customHeight="1" x14ac:dyDescent="0.25">
      <c r="A157" s="12" t="s">
        <v>9</v>
      </c>
      <c r="B157" s="13"/>
      <c r="D157" s="99" t="s">
        <v>59</v>
      </c>
      <c r="E157" s="100"/>
      <c r="F157" s="101"/>
      <c r="G157" s="13"/>
    </row>
    <row r="158" spans="1:12" ht="17.100000000000001" customHeight="1" x14ac:dyDescent="0.25">
      <c r="A158" s="14" t="s">
        <v>11</v>
      </c>
      <c r="B158" s="15"/>
      <c r="D158" s="15" t="s">
        <v>15</v>
      </c>
      <c r="E158" s="15" t="s">
        <v>61</v>
      </c>
      <c r="F158" s="41" t="s">
        <v>61</v>
      </c>
      <c r="G158" s="15"/>
    </row>
    <row r="159" spans="1:12" ht="17.100000000000001" customHeight="1" x14ac:dyDescent="0.25">
      <c r="A159" s="16" t="s">
        <v>16</v>
      </c>
      <c r="B159" s="17">
        <v>200809.09109</v>
      </c>
      <c r="D159" s="17">
        <f>199000*100.909091%</f>
        <v>200809.09109</v>
      </c>
      <c r="E159" s="17">
        <f>139000*100.909091%</f>
        <v>140263.63649</v>
      </c>
      <c r="F159" s="17">
        <f>139000*100.909091%</f>
        <v>140263.63649</v>
      </c>
      <c r="G159" s="17"/>
    </row>
    <row r="160" spans="1:12" ht="17.100000000000001" customHeight="1" x14ac:dyDescent="0.25">
      <c r="A160" s="18" t="s">
        <v>17</v>
      </c>
      <c r="B160" s="19">
        <v>2008090.9109</v>
      </c>
      <c r="C160" s="20"/>
      <c r="D160" s="19">
        <f>1990000*100.909091%</f>
        <v>2008090.9109</v>
      </c>
      <c r="E160" s="19">
        <f>1300000*100.909091%</f>
        <v>1311818.1830000002</v>
      </c>
      <c r="F160" s="19">
        <f>1300000*100.909091%</f>
        <v>1311818.1830000002</v>
      </c>
      <c r="G160" s="19"/>
    </row>
    <row r="161" spans="1:7" ht="15" x14ac:dyDescent="0.25">
      <c r="A161" s="18" t="s">
        <v>18</v>
      </c>
      <c r="B161" s="19"/>
      <c r="C161" s="20"/>
      <c r="D161" s="19"/>
      <c r="E161" s="19"/>
      <c r="F161" s="19"/>
      <c r="G161" s="19"/>
    </row>
    <row r="162" spans="1:7" s="24" customFormat="1" x14ac:dyDescent="0.25">
      <c r="A162" s="22" t="s">
        <v>19</v>
      </c>
      <c r="B162" s="23"/>
      <c r="D162" s="42" t="s">
        <v>21</v>
      </c>
      <c r="E162" s="23" t="s">
        <v>21</v>
      </c>
      <c r="F162" s="23" t="s">
        <v>21</v>
      </c>
      <c r="G162" s="23"/>
    </row>
    <row r="163" spans="1:7" s="24" customFormat="1" x14ac:dyDescent="0.25">
      <c r="A163" s="22" t="s">
        <v>23</v>
      </c>
      <c r="B163" s="23"/>
      <c r="D163" s="42" t="s">
        <v>21</v>
      </c>
      <c r="E163" s="23" t="s">
        <v>21</v>
      </c>
      <c r="F163" s="23" t="s">
        <v>21</v>
      </c>
      <c r="G163" s="23"/>
    </row>
    <row r="164" spans="1:7" s="24" customFormat="1" x14ac:dyDescent="0.25">
      <c r="A164" s="22" t="s">
        <v>24</v>
      </c>
      <c r="B164" s="23"/>
      <c r="D164" s="23">
        <v>302726.97000000003</v>
      </c>
      <c r="E164" s="23">
        <v>302726.97000000003</v>
      </c>
      <c r="F164" s="23">
        <v>302726.97000000003</v>
      </c>
      <c r="G164" s="23"/>
    </row>
    <row r="165" spans="1:7" x14ac:dyDescent="0.25">
      <c r="A165" s="25" t="s">
        <v>26</v>
      </c>
      <c r="B165" s="26" t="s">
        <v>27</v>
      </c>
      <c r="C165" s="6"/>
      <c r="D165" s="26" t="s">
        <v>27</v>
      </c>
      <c r="E165" s="26"/>
      <c r="F165" s="26"/>
      <c r="G165" s="26"/>
    </row>
    <row r="166" spans="1:7" x14ac:dyDescent="0.25">
      <c r="A166" s="25" t="s">
        <v>29</v>
      </c>
      <c r="B166" s="26"/>
      <c r="C166" s="6"/>
      <c r="D166" s="26" t="s">
        <v>53</v>
      </c>
      <c r="E166" s="26" t="s">
        <v>64</v>
      </c>
      <c r="F166" s="26" t="s">
        <v>53</v>
      </c>
      <c r="G166" s="26"/>
    </row>
    <row r="167" spans="1:7" ht="15" x14ac:dyDescent="0.25">
      <c r="A167" s="18" t="s">
        <v>31</v>
      </c>
      <c r="B167" s="19">
        <f>B159</f>
        <v>200809.09109</v>
      </c>
      <c r="C167" s="20"/>
      <c r="D167" s="19">
        <f>D159</f>
        <v>200809.09109</v>
      </c>
      <c r="E167" s="19">
        <f>E159</f>
        <v>140263.63649</v>
      </c>
      <c r="F167" s="19">
        <f>F159</f>
        <v>140263.63649</v>
      </c>
      <c r="G167" s="19"/>
    </row>
    <row r="168" spans="1:7" s="20" customFormat="1" ht="15" x14ac:dyDescent="0.25">
      <c r="A168" s="18" t="s">
        <v>32</v>
      </c>
      <c r="B168" s="19"/>
      <c r="D168" s="19"/>
      <c r="E168" s="19"/>
      <c r="F168" s="19"/>
      <c r="G168" s="19"/>
    </row>
    <row r="169" spans="1:7" x14ac:dyDescent="0.25">
      <c r="A169" s="22" t="s">
        <v>19</v>
      </c>
      <c r="B169" s="23"/>
      <c r="C169" s="24"/>
      <c r="D169" s="23">
        <v>20181.820200000002</v>
      </c>
      <c r="E169" s="23">
        <v>20181.820200000002</v>
      </c>
      <c r="F169" s="23">
        <v>20181.820200000002</v>
      </c>
      <c r="G169" s="23"/>
    </row>
    <row r="170" spans="1:7" x14ac:dyDescent="0.25">
      <c r="A170" s="22" t="s">
        <v>23</v>
      </c>
      <c r="B170" s="23"/>
      <c r="C170" s="24"/>
      <c r="D170" s="23">
        <v>30272.730300000003</v>
      </c>
      <c r="E170" s="23">
        <v>30272.730300000003</v>
      </c>
      <c r="F170" s="23">
        <v>30272.730300000003</v>
      </c>
      <c r="G170" s="23"/>
    </row>
    <row r="171" spans="1:7" x14ac:dyDescent="0.25">
      <c r="A171" s="22" t="s">
        <v>24</v>
      </c>
      <c r="B171" s="23"/>
      <c r="C171" s="24"/>
      <c r="D171" s="23">
        <v>50454.550500000005</v>
      </c>
      <c r="E171" s="23">
        <v>50454.550500000005</v>
      </c>
      <c r="F171" s="23">
        <v>50454.550500000005</v>
      </c>
      <c r="G171" s="23"/>
    </row>
    <row r="172" spans="1:7" ht="15" x14ac:dyDescent="0.25">
      <c r="A172" s="27" t="s">
        <v>34</v>
      </c>
      <c r="B172" s="28"/>
      <c r="C172" s="20"/>
      <c r="D172" s="43">
        <v>302727.19200000004</v>
      </c>
      <c r="E172" s="28">
        <v>605454.55050000001</v>
      </c>
      <c r="F172" s="43">
        <v>605454.55050000001</v>
      </c>
      <c r="G172" s="28"/>
    </row>
    <row r="173" spans="1:7" ht="15" x14ac:dyDescent="0.25">
      <c r="A173" s="29" t="s">
        <v>36</v>
      </c>
      <c r="B173" s="30"/>
      <c r="D173" s="30"/>
      <c r="E173" s="31"/>
      <c r="F173" s="30"/>
      <c r="G173" s="30"/>
    </row>
    <row r="174" spans="1:7" x14ac:dyDescent="0.25">
      <c r="A174" s="16" t="s">
        <v>37</v>
      </c>
      <c r="B174" s="17">
        <v>99500</v>
      </c>
      <c r="D174" s="17">
        <f>50000*100.909091%</f>
        <v>50454.5455</v>
      </c>
      <c r="E174" s="17">
        <f>50000*100.909091%</f>
        <v>50454.5455</v>
      </c>
      <c r="F174" s="17">
        <f>50000*100.909091%</f>
        <v>50454.5455</v>
      </c>
      <c r="G174" s="17"/>
    </row>
    <row r="175" spans="1:7" ht="15" x14ac:dyDescent="0.25">
      <c r="A175" s="18" t="s">
        <v>38</v>
      </c>
      <c r="B175" s="19">
        <f>B174*12</f>
        <v>1194000</v>
      </c>
      <c r="C175" s="20"/>
      <c r="D175" s="19">
        <f>600000*100.909091%</f>
        <v>605454.54600000009</v>
      </c>
      <c r="E175" s="19">
        <f>600000*100.909091%</f>
        <v>605454.54600000009</v>
      </c>
      <c r="F175" s="19">
        <f>600000*100.909091%</f>
        <v>605454.54600000009</v>
      </c>
      <c r="G175" s="19"/>
    </row>
    <row r="176" spans="1:7" ht="15" x14ac:dyDescent="0.25">
      <c r="A176" s="18" t="s">
        <v>39</v>
      </c>
      <c r="B176" s="17"/>
      <c r="D176" s="23" t="s">
        <v>22</v>
      </c>
      <c r="E176" s="23" t="s">
        <v>22</v>
      </c>
      <c r="F176" s="23" t="s">
        <v>22</v>
      </c>
      <c r="G176" s="23"/>
    </row>
    <row r="177" spans="1:7" x14ac:dyDescent="0.25">
      <c r="A177" s="25" t="s">
        <v>40</v>
      </c>
      <c r="B177" s="26"/>
      <c r="C177" s="6"/>
      <c r="D177" s="26"/>
      <c r="E177" s="26"/>
      <c r="F177" s="26"/>
      <c r="G177" s="26"/>
    </row>
    <row r="178" spans="1:7" x14ac:dyDescent="0.25">
      <c r="A178" s="25" t="s">
        <v>41</v>
      </c>
      <c r="B178" s="26"/>
      <c r="C178" s="6"/>
      <c r="D178" s="26"/>
      <c r="E178" s="26"/>
      <c r="F178" s="26"/>
      <c r="G178" s="26"/>
    </row>
    <row r="179" spans="1:7" x14ac:dyDescent="0.25">
      <c r="A179" s="16" t="s">
        <v>31</v>
      </c>
      <c r="B179" s="17">
        <f>B174</f>
        <v>99500</v>
      </c>
      <c r="D179" s="17">
        <f>D174</f>
        <v>50454.5455</v>
      </c>
      <c r="E179" s="17">
        <f>E174</f>
        <v>50454.5455</v>
      </c>
      <c r="F179" s="17">
        <f>F174</f>
        <v>50454.5455</v>
      </c>
      <c r="G179" s="17"/>
    </row>
    <row r="180" spans="1:7" x14ac:dyDescent="0.25">
      <c r="A180" s="16" t="s">
        <v>42</v>
      </c>
      <c r="B180" s="17"/>
      <c r="D180" s="23"/>
      <c r="E180" s="23"/>
      <c r="F180" s="23"/>
      <c r="G180" s="23"/>
    </row>
    <row r="181" spans="1:7" s="24" customFormat="1" x14ac:dyDescent="0.25">
      <c r="A181" s="22" t="s">
        <v>43</v>
      </c>
      <c r="B181" s="23"/>
      <c r="D181" s="23" t="s">
        <v>22</v>
      </c>
      <c r="E181" s="23" t="s">
        <v>22</v>
      </c>
      <c r="F181" s="23" t="s">
        <v>22</v>
      </c>
      <c r="G181" s="23"/>
    </row>
    <row r="182" spans="1:7" s="24" customFormat="1" x14ac:dyDescent="0.25">
      <c r="A182" s="22" t="s">
        <v>44</v>
      </c>
      <c r="B182" s="23"/>
      <c r="D182" s="23" t="s">
        <v>22</v>
      </c>
      <c r="E182" s="23" t="s">
        <v>22</v>
      </c>
      <c r="F182" s="23" t="s">
        <v>22</v>
      </c>
      <c r="G182" s="23"/>
    </row>
    <row r="183" spans="1:7" s="24" customFormat="1" x14ac:dyDescent="0.25">
      <c r="A183" s="22" t="s">
        <v>45</v>
      </c>
      <c r="B183" s="23"/>
      <c r="D183" s="23">
        <v>50454.550500000005</v>
      </c>
      <c r="E183" s="23">
        <v>50454.550500000005</v>
      </c>
      <c r="F183" s="23">
        <v>50454.550500000005</v>
      </c>
      <c r="G183" s="23"/>
    </row>
    <row r="185" spans="1:7" ht="15" x14ac:dyDescent="0.25">
      <c r="B185" s="7" t="s">
        <v>1</v>
      </c>
      <c r="D185" s="96" t="s">
        <v>2</v>
      </c>
      <c r="E185" s="97"/>
      <c r="F185" s="98"/>
      <c r="G185" s="8"/>
    </row>
    <row r="186" spans="1:7" ht="30" x14ac:dyDescent="0.25">
      <c r="A186" s="9" t="s">
        <v>3</v>
      </c>
      <c r="B186" s="32" t="s">
        <v>69</v>
      </c>
      <c r="D186" s="10" t="s">
        <v>5</v>
      </c>
      <c r="E186" s="10" t="s">
        <v>6</v>
      </c>
      <c r="F186" s="10" t="s">
        <v>7</v>
      </c>
      <c r="G186" s="11" t="s">
        <v>8</v>
      </c>
    </row>
    <row r="187" spans="1:7" ht="15" x14ac:dyDescent="0.25">
      <c r="A187" s="12" t="s">
        <v>9</v>
      </c>
      <c r="B187" s="13"/>
      <c r="D187" s="99" t="s">
        <v>59</v>
      </c>
      <c r="E187" s="100"/>
      <c r="F187" s="101"/>
      <c r="G187" s="13"/>
    </row>
    <row r="188" spans="1:7" ht="15" x14ac:dyDescent="0.25">
      <c r="A188" s="14" t="s">
        <v>11</v>
      </c>
      <c r="B188" s="15"/>
      <c r="D188" s="15" t="s">
        <v>61</v>
      </c>
      <c r="E188" s="15" t="s">
        <v>61</v>
      </c>
      <c r="F188" s="15" t="s">
        <v>70</v>
      </c>
      <c r="G188" s="15"/>
    </row>
    <row r="189" spans="1:7" x14ac:dyDescent="0.25">
      <c r="A189" s="16" t="s">
        <v>16</v>
      </c>
      <c r="B189" s="17">
        <v>140263.63649</v>
      </c>
      <c r="D189" s="17">
        <f>139000*100.909091%</f>
        <v>140263.63649</v>
      </c>
      <c r="E189" s="17">
        <f>139000*100.909091%</f>
        <v>140263.63649</v>
      </c>
      <c r="F189" s="17">
        <f>99000*100.909091%</f>
        <v>99900.000090000001</v>
      </c>
      <c r="G189" s="17"/>
    </row>
    <row r="190" spans="1:7" ht="15" x14ac:dyDescent="0.25">
      <c r="A190" s="18" t="s">
        <v>17</v>
      </c>
      <c r="B190" s="19">
        <v>1311818.1830000002</v>
      </c>
      <c r="C190" s="20"/>
      <c r="D190" s="19">
        <f>1300000*100.909091%</f>
        <v>1311818.1830000002</v>
      </c>
      <c r="E190" s="19">
        <f>1300000*100.909091%</f>
        <v>1311818.1830000002</v>
      </c>
      <c r="F190" s="19">
        <f>995000*100.909091%</f>
        <v>1004045.45545</v>
      </c>
      <c r="G190" s="19"/>
    </row>
    <row r="191" spans="1:7" ht="15" x14ac:dyDescent="0.25">
      <c r="A191" s="18" t="s">
        <v>18</v>
      </c>
      <c r="B191" s="19"/>
      <c r="C191" s="20"/>
      <c r="D191" s="19"/>
      <c r="E191" s="19"/>
      <c r="F191" s="19"/>
      <c r="G191" s="19"/>
    </row>
    <row r="192" spans="1:7" s="24" customFormat="1" x14ac:dyDescent="0.25">
      <c r="A192" s="22" t="s">
        <v>19</v>
      </c>
      <c r="B192" s="23"/>
      <c r="D192" s="23" t="s">
        <v>21</v>
      </c>
      <c r="E192" s="23" t="s">
        <v>21</v>
      </c>
      <c r="F192" s="23" t="s">
        <v>21</v>
      </c>
      <c r="G192" s="23"/>
    </row>
    <row r="193" spans="1:7" s="24" customFormat="1" x14ac:dyDescent="0.25">
      <c r="A193" s="22" t="s">
        <v>23</v>
      </c>
      <c r="B193" s="23"/>
      <c r="D193" s="23" t="s">
        <v>21</v>
      </c>
      <c r="E193" s="23" t="s">
        <v>21</v>
      </c>
      <c r="F193" s="23" t="s">
        <v>21</v>
      </c>
      <c r="G193" s="23"/>
    </row>
    <row r="194" spans="1:7" s="24" customFormat="1" x14ac:dyDescent="0.25">
      <c r="A194" s="22" t="s">
        <v>24</v>
      </c>
      <c r="B194" s="23"/>
      <c r="D194" s="23">
        <v>302726.97000000003</v>
      </c>
      <c r="E194" s="23">
        <v>302726.97000000003</v>
      </c>
      <c r="F194" s="23">
        <v>302726.97000000003</v>
      </c>
      <c r="G194" s="23"/>
    </row>
    <row r="195" spans="1:7" x14ac:dyDescent="0.25">
      <c r="A195" s="25" t="s">
        <v>26</v>
      </c>
      <c r="B195" s="26"/>
      <c r="C195" s="6"/>
      <c r="D195" s="26"/>
      <c r="E195" s="26"/>
      <c r="F195" s="26" t="s">
        <v>27</v>
      </c>
      <c r="G195" s="26"/>
    </row>
    <row r="196" spans="1:7" x14ac:dyDescent="0.25">
      <c r="A196" s="25" t="s">
        <v>29</v>
      </c>
      <c r="B196" s="26"/>
      <c r="C196" s="6"/>
      <c r="D196" s="26" t="s">
        <v>64</v>
      </c>
      <c r="E196" s="26" t="s">
        <v>71</v>
      </c>
      <c r="F196" s="26" t="s">
        <v>64</v>
      </c>
      <c r="G196" s="26"/>
    </row>
    <row r="197" spans="1:7" ht="15" x14ac:dyDescent="0.25">
      <c r="A197" s="18" t="s">
        <v>31</v>
      </c>
      <c r="B197" s="19">
        <f>B189</f>
        <v>140263.63649</v>
      </c>
      <c r="C197" s="20"/>
      <c r="D197" s="19">
        <f>D189</f>
        <v>140263.63649</v>
      </c>
      <c r="E197" s="19">
        <f>E189</f>
        <v>140263.63649</v>
      </c>
      <c r="F197" s="19">
        <f>F189</f>
        <v>99900.000090000001</v>
      </c>
      <c r="G197" s="19"/>
    </row>
    <row r="198" spans="1:7" s="20" customFormat="1" ht="15" x14ac:dyDescent="0.25">
      <c r="A198" s="18" t="s">
        <v>32</v>
      </c>
      <c r="B198" s="19"/>
      <c r="D198" s="19"/>
      <c r="E198" s="19"/>
      <c r="F198" s="19"/>
      <c r="G198" s="19"/>
    </row>
    <row r="199" spans="1:7" x14ac:dyDescent="0.25">
      <c r="A199" s="22" t="s">
        <v>19</v>
      </c>
      <c r="B199" s="23"/>
      <c r="C199" s="24"/>
      <c r="D199" s="23">
        <v>20181.820200000002</v>
      </c>
      <c r="E199" s="23">
        <v>20181.820200000002</v>
      </c>
      <c r="F199" s="23">
        <v>20181.820200000002</v>
      </c>
      <c r="G199" s="23"/>
    </row>
    <row r="200" spans="1:7" x14ac:dyDescent="0.25">
      <c r="A200" s="22" t="s">
        <v>23</v>
      </c>
      <c r="B200" s="23"/>
      <c r="C200" s="24"/>
      <c r="D200" s="23">
        <v>30272.730300000003</v>
      </c>
      <c r="E200" s="23">
        <v>30272.730300000003</v>
      </c>
      <c r="F200" s="23">
        <v>30272.730300000003</v>
      </c>
      <c r="G200" s="23"/>
    </row>
    <row r="201" spans="1:7" x14ac:dyDescent="0.25">
      <c r="A201" s="22" t="s">
        <v>24</v>
      </c>
      <c r="B201" s="23"/>
      <c r="C201" s="24"/>
      <c r="D201" s="23">
        <v>50454.550500000005</v>
      </c>
      <c r="E201" s="23">
        <v>50454.550500000005</v>
      </c>
      <c r="F201" s="23">
        <v>50454.550500000005</v>
      </c>
      <c r="G201" s="23"/>
    </row>
    <row r="202" spans="1:7" ht="15" x14ac:dyDescent="0.25">
      <c r="A202" s="27" t="s">
        <v>34</v>
      </c>
      <c r="B202" s="28"/>
      <c r="C202" s="20"/>
      <c r="D202" s="28">
        <v>605454.55050000001</v>
      </c>
      <c r="E202" s="28">
        <v>605454.55050000001</v>
      </c>
      <c r="F202" s="43">
        <v>605454.55050000001</v>
      </c>
      <c r="G202" s="28"/>
    </row>
    <row r="203" spans="1:7" ht="15" x14ac:dyDescent="0.25">
      <c r="A203" s="29" t="s">
        <v>36</v>
      </c>
      <c r="B203" s="30"/>
      <c r="D203" s="30"/>
      <c r="E203" s="30"/>
      <c r="F203" s="31"/>
      <c r="G203" s="30"/>
    </row>
    <row r="204" spans="1:7" x14ac:dyDescent="0.25">
      <c r="A204" s="16" t="s">
        <v>37</v>
      </c>
      <c r="B204" s="17">
        <v>99500</v>
      </c>
      <c r="D204" s="17">
        <f>50000*100.909091%</f>
        <v>50454.5455</v>
      </c>
      <c r="E204" s="17">
        <f>50000*100.909091%</f>
        <v>50454.5455</v>
      </c>
      <c r="F204" s="17">
        <f>99500*100.909091%</f>
        <v>100404.545545</v>
      </c>
      <c r="G204" s="17"/>
    </row>
    <row r="205" spans="1:7" ht="15" x14ac:dyDescent="0.25">
      <c r="A205" s="18" t="s">
        <v>38</v>
      </c>
      <c r="B205" s="19">
        <v>600000</v>
      </c>
      <c r="C205" s="20"/>
      <c r="D205" s="19">
        <f>600000*100.909091%</f>
        <v>605454.54600000009</v>
      </c>
      <c r="E205" s="19">
        <f>600000*100.909091%</f>
        <v>605454.54600000009</v>
      </c>
      <c r="F205" s="19">
        <f>600000*100.909091%</f>
        <v>605454.54600000009</v>
      </c>
      <c r="G205" s="19"/>
    </row>
    <row r="206" spans="1:7" ht="15" x14ac:dyDescent="0.25">
      <c r="A206" s="18" t="s">
        <v>39</v>
      </c>
      <c r="B206" s="17"/>
      <c r="D206" s="23" t="s">
        <v>22</v>
      </c>
      <c r="E206" s="23" t="s">
        <v>22</v>
      </c>
      <c r="F206" s="23" t="s">
        <v>22</v>
      </c>
      <c r="G206" s="23"/>
    </row>
    <row r="207" spans="1:7" x14ac:dyDescent="0.25">
      <c r="A207" s="25" t="s">
        <v>40</v>
      </c>
      <c r="B207" s="26"/>
      <c r="C207" s="6"/>
      <c r="D207" s="26"/>
      <c r="E207" s="26"/>
      <c r="F207" s="26"/>
      <c r="G207" s="26"/>
    </row>
    <row r="208" spans="1:7" x14ac:dyDescent="0.25">
      <c r="A208" s="25" t="s">
        <v>41</v>
      </c>
      <c r="B208" s="26"/>
      <c r="C208" s="6"/>
      <c r="D208" s="26"/>
      <c r="E208" s="26"/>
      <c r="F208" s="26"/>
      <c r="G208" s="26"/>
    </row>
    <row r="209" spans="1:10" x14ac:dyDescent="0.25">
      <c r="A209" s="16" t="s">
        <v>31</v>
      </c>
      <c r="B209" s="17">
        <v>99000</v>
      </c>
      <c r="D209" s="17">
        <f>D204</f>
        <v>50454.5455</v>
      </c>
      <c r="E209" s="17">
        <f>E204</f>
        <v>50454.5455</v>
      </c>
      <c r="F209" s="17">
        <f>F204</f>
        <v>100404.545545</v>
      </c>
      <c r="G209" s="17"/>
    </row>
    <row r="210" spans="1:10" x14ac:dyDescent="0.25">
      <c r="A210" s="16" t="s">
        <v>42</v>
      </c>
      <c r="B210" s="17"/>
      <c r="D210" s="23"/>
      <c r="E210" s="23"/>
      <c r="F210" s="23"/>
      <c r="G210" s="23"/>
    </row>
    <row r="211" spans="1:10" s="24" customFormat="1" x14ac:dyDescent="0.25">
      <c r="A211" s="22" t="s">
        <v>43</v>
      </c>
      <c r="B211" s="23"/>
      <c r="D211" s="23" t="s">
        <v>22</v>
      </c>
      <c r="E211" s="23" t="s">
        <v>22</v>
      </c>
      <c r="F211" s="23" t="s">
        <v>22</v>
      </c>
      <c r="G211" s="23"/>
    </row>
    <row r="212" spans="1:10" s="24" customFormat="1" x14ac:dyDescent="0.25">
      <c r="A212" s="22" t="s">
        <v>44</v>
      </c>
      <c r="B212" s="23"/>
      <c r="D212" s="23" t="s">
        <v>22</v>
      </c>
      <c r="E212" s="23" t="s">
        <v>22</v>
      </c>
      <c r="F212" s="23" t="s">
        <v>22</v>
      </c>
      <c r="G212" s="23"/>
    </row>
    <row r="213" spans="1:10" s="24" customFormat="1" x14ac:dyDescent="0.25">
      <c r="A213" s="22" t="s">
        <v>45</v>
      </c>
      <c r="B213" s="23"/>
      <c r="D213" s="23">
        <v>50454.550500000005</v>
      </c>
      <c r="E213" s="23">
        <v>50454.550500000005</v>
      </c>
      <c r="F213" s="23">
        <v>50454.550500000005</v>
      </c>
      <c r="G213" s="23"/>
    </row>
    <row r="215" spans="1:10" ht="15" x14ac:dyDescent="0.25">
      <c r="B215" s="7" t="s">
        <v>1</v>
      </c>
      <c r="D215" s="96" t="s">
        <v>72</v>
      </c>
      <c r="E215" s="97"/>
      <c r="F215" s="98"/>
      <c r="G215" s="8"/>
    </row>
    <row r="216" spans="1:10" ht="30" x14ac:dyDescent="0.25">
      <c r="A216" s="9" t="s">
        <v>3</v>
      </c>
      <c r="B216" s="32" t="s">
        <v>73</v>
      </c>
      <c r="D216" s="10" t="s">
        <v>5</v>
      </c>
      <c r="E216" s="10" t="s">
        <v>6</v>
      </c>
      <c r="F216" s="10" t="s">
        <v>7</v>
      </c>
      <c r="G216" s="11" t="s">
        <v>8</v>
      </c>
    </row>
    <row r="217" spans="1:10" ht="15" x14ac:dyDescent="0.25">
      <c r="A217" s="12" t="s">
        <v>9</v>
      </c>
      <c r="B217" s="13"/>
      <c r="D217" s="99" t="s">
        <v>59</v>
      </c>
      <c r="E217" s="100"/>
      <c r="F217" s="37" t="s">
        <v>74</v>
      </c>
      <c r="G217" s="13"/>
    </row>
    <row r="218" spans="1:10" ht="15" x14ac:dyDescent="0.25">
      <c r="A218" s="14" t="s">
        <v>11</v>
      </c>
      <c r="B218" s="15"/>
      <c r="D218" s="15" t="s">
        <v>70</v>
      </c>
      <c r="E218" s="15" t="s">
        <v>75</v>
      </c>
      <c r="F218" s="15" t="s">
        <v>76</v>
      </c>
      <c r="G218" s="15" t="s">
        <v>70</v>
      </c>
    </row>
    <row r="219" spans="1:10" x14ac:dyDescent="0.25">
      <c r="A219" s="16" t="s">
        <v>16</v>
      </c>
      <c r="B219" s="17">
        <v>99900.000090000001</v>
      </c>
      <c r="D219" s="17">
        <f>99000*100.909091%</f>
        <v>99900.000090000001</v>
      </c>
      <c r="E219" s="17">
        <f>99000*100.909091%</f>
        <v>99900.000090000001</v>
      </c>
      <c r="F219" s="17">
        <f>99000*100.909091%</f>
        <v>99900.000090000001</v>
      </c>
      <c r="G219" s="17">
        <f>99000*100.909091%</f>
        <v>99900.000090000001</v>
      </c>
      <c r="J219" s="3"/>
    </row>
    <row r="220" spans="1:10" ht="15" x14ac:dyDescent="0.25">
      <c r="A220" s="18" t="s">
        <v>17</v>
      </c>
      <c r="B220" s="19">
        <v>1004045.45545</v>
      </c>
      <c r="C220" s="20"/>
      <c r="D220" s="19">
        <f>995000*100.909091%</f>
        <v>1004045.45545</v>
      </c>
      <c r="E220" s="19">
        <f>597000*100.909091%</f>
        <v>602427.27327000001</v>
      </c>
      <c r="F220" s="19">
        <f>750000*100.909091%</f>
        <v>756818.1825</v>
      </c>
      <c r="G220" s="19">
        <f>995000*100.909091%</f>
        <v>1004045.45545</v>
      </c>
    </row>
    <row r="221" spans="1:10" ht="15" x14ac:dyDescent="0.25">
      <c r="A221" s="18" t="s">
        <v>18</v>
      </c>
      <c r="B221" s="19"/>
      <c r="C221" s="20"/>
      <c r="D221" s="19"/>
      <c r="E221" s="19"/>
      <c r="F221" s="19"/>
      <c r="G221" s="19"/>
    </row>
    <row r="222" spans="1:10" s="24" customFormat="1" x14ac:dyDescent="0.25">
      <c r="A222" s="22" t="s">
        <v>19</v>
      </c>
      <c r="B222" s="23"/>
      <c r="D222" s="23">
        <v>201818.17980000001</v>
      </c>
      <c r="E222" s="23">
        <v>100909.08990000001</v>
      </c>
      <c r="F222" s="23" t="s">
        <v>77</v>
      </c>
      <c r="G222" s="23">
        <v>201818.17980000001</v>
      </c>
    </row>
    <row r="223" spans="1:10" s="24" customFormat="1" x14ac:dyDescent="0.25">
      <c r="A223" s="22" t="s">
        <v>23</v>
      </c>
      <c r="B223" s="23"/>
      <c r="D223" s="23">
        <v>302726.97000000003</v>
      </c>
      <c r="E223" s="23">
        <v>151363.64040000003</v>
      </c>
      <c r="F223" s="23" t="s">
        <v>77</v>
      </c>
      <c r="G223" s="23">
        <v>302726.97000000003</v>
      </c>
    </row>
    <row r="224" spans="1:10" s="24" customFormat="1" x14ac:dyDescent="0.25">
      <c r="A224" s="22" t="s">
        <v>24</v>
      </c>
      <c r="B224" s="23"/>
      <c r="D224" s="23">
        <v>302726.97000000003</v>
      </c>
      <c r="E224" s="23">
        <v>181636.3596</v>
      </c>
      <c r="F224" s="23">
        <v>302726.97000000003</v>
      </c>
      <c r="G224" s="23">
        <v>504544.95000000007</v>
      </c>
    </row>
    <row r="225" spans="1:7" x14ac:dyDescent="0.25">
      <c r="A225" s="25" t="s">
        <v>26</v>
      </c>
      <c r="B225" s="26" t="s">
        <v>27</v>
      </c>
      <c r="C225" s="6"/>
      <c r="D225" s="26" t="s">
        <v>27</v>
      </c>
      <c r="E225" s="26"/>
      <c r="F225" s="26"/>
      <c r="G225" s="26" t="s">
        <v>27</v>
      </c>
    </row>
    <row r="226" spans="1:7" x14ac:dyDescent="0.25">
      <c r="A226" s="25" t="s">
        <v>29</v>
      </c>
      <c r="B226" s="26"/>
      <c r="C226" s="6"/>
      <c r="D226" s="26" t="s">
        <v>64</v>
      </c>
      <c r="E226" s="26" t="s">
        <v>78</v>
      </c>
      <c r="F226" s="26"/>
      <c r="G226" s="26" t="s">
        <v>30</v>
      </c>
    </row>
    <row r="227" spans="1:7" ht="15" x14ac:dyDescent="0.25">
      <c r="A227" s="18" t="s">
        <v>31</v>
      </c>
      <c r="B227" s="19">
        <f>B219</f>
        <v>99900.000090000001</v>
      </c>
      <c r="C227" s="20"/>
      <c r="D227" s="19">
        <f>D219</f>
        <v>99900.000090000001</v>
      </c>
      <c r="E227" s="19">
        <f>E219</f>
        <v>99900.000090000001</v>
      </c>
      <c r="F227" s="19">
        <f>F219</f>
        <v>99900.000090000001</v>
      </c>
      <c r="G227" s="19">
        <f>G219</f>
        <v>99900.000090000001</v>
      </c>
    </row>
    <row r="228" spans="1:7" s="20" customFormat="1" ht="15" x14ac:dyDescent="0.25">
      <c r="A228" s="18" t="s">
        <v>32</v>
      </c>
      <c r="B228" s="19"/>
      <c r="D228" s="19"/>
      <c r="E228" s="19"/>
      <c r="F228" s="19"/>
      <c r="G228" s="19"/>
    </row>
    <row r="229" spans="1:7" x14ac:dyDescent="0.25">
      <c r="A229" s="22" t="s">
        <v>19</v>
      </c>
      <c r="B229" s="23"/>
      <c r="C229" s="24"/>
      <c r="D229" s="23">
        <v>20181.820200000002</v>
      </c>
      <c r="E229" s="23">
        <v>20181.820200000002</v>
      </c>
      <c r="F229" s="23" t="s">
        <v>33</v>
      </c>
      <c r="G229" s="23">
        <v>20181.820200000002</v>
      </c>
    </row>
    <row r="230" spans="1:7" x14ac:dyDescent="0.25">
      <c r="A230" s="22" t="s">
        <v>23</v>
      </c>
      <c r="B230" s="23"/>
      <c r="C230" s="24"/>
      <c r="D230" s="23">
        <v>30272.730300000003</v>
      </c>
      <c r="E230" s="23">
        <v>30272.730300000003</v>
      </c>
      <c r="F230" s="23" t="s">
        <v>33</v>
      </c>
      <c r="G230" s="23">
        <v>30272.730300000003</v>
      </c>
    </row>
    <row r="231" spans="1:7" x14ac:dyDescent="0.25">
      <c r="A231" s="22" t="s">
        <v>24</v>
      </c>
      <c r="B231" s="23"/>
      <c r="C231" s="24"/>
      <c r="D231" s="23">
        <v>50454.550500000005</v>
      </c>
      <c r="E231" s="23">
        <v>50454.550500000005</v>
      </c>
      <c r="F231" s="23">
        <v>50454.550500000005</v>
      </c>
      <c r="G231" s="23">
        <v>50454.550500000005</v>
      </c>
    </row>
    <row r="232" spans="1:7" ht="15" x14ac:dyDescent="0.25">
      <c r="A232" s="27" t="s">
        <v>34</v>
      </c>
      <c r="B232" s="28"/>
      <c r="C232" s="20"/>
      <c r="D232" s="28">
        <v>605454.55050000001</v>
      </c>
      <c r="E232" s="28">
        <v>302727.19200000004</v>
      </c>
      <c r="F232" s="43">
        <v>605454.55050000001</v>
      </c>
      <c r="G232" s="28">
        <v>605454.55050000001</v>
      </c>
    </row>
    <row r="233" spans="1:7" ht="15" x14ac:dyDescent="0.25">
      <c r="A233" s="29" t="s">
        <v>36</v>
      </c>
      <c r="B233" s="30"/>
      <c r="D233" s="30"/>
      <c r="E233" s="30"/>
      <c r="F233" s="31"/>
      <c r="G233" s="30"/>
    </row>
    <row r="234" spans="1:7" x14ac:dyDescent="0.25">
      <c r="A234" s="16" t="s">
        <v>37</v>
      </c>
      <c r="B234" s="17">
        <v>99500</v>
      </c>
      <c r="D234" s="17">
        <f>50000*100.909091%</f>
        <v>50454.5455</v>
      </c>
      <c r="E234" s="17">
        <f>50000*100.909091%</f>
        <v>50454.5455</v>
      </c>
      <c r="F234" s="17">
        <f>40000*100.909091%</f>
        <v>40363.636400000003</v>
      </c>
      <c r="G234" s="17">
        <f>50000*100.909091%</f>
        <v>50454.5455</v>
      </c>
    </row>
    <row r="235" spans="1:7" ht="15" x14ac:dyDescent="0.25">
      <c r="A235" s="18" t="s">
        <v>38</v>
      </c>
      <c r="B235" s="19">
        <v>600000</v>
      </c>
      <c r="C235" s="20"/>
      <c r="D235" s="19">
        <f>600000*100.909091%</f>
        <v>605454.54600000009</v>
      </c>
      <c r="E235" s="19">
        <f>300000*100.909091%</f>
        <v>302727.27300000004</v>
      </c>
      <c r="F235" s="19">
        <f>400000*100.909091%</f>
        <v>403636.364</v>
      </c>
      <c r="G235" s="19">
        <f>600000*100.909091%</f>
        <v>605454.54600000009</v>
      </c>
    </row>
    <row r="236" spans="1:7" ht="15" x14ac:dyDescent="0.25">
      <c r="A236" s="18" t="s">
        <v>39</v>
      </c>
      <c r="B236" s="17"/>
      <c r="D236" s="23" t="s">
        <v>22</v>
      </c>
      <c r="E236" s="23" t="s">
        <v>22</v>
      </c>
      <c r="F236" s="23" t="s">
        <v>22</v>
      </c>
      <c r="G236" s="23" t="s">
        <v>22</v>
      </c>
    </row>
    <row r="237" spans="1:7" x14ac:dyDescent="0.25">
      <c r="A237" s="25" t="s">
        <v>40</v>
      </c>
      <c r="B237" s="26"/>
      <c r="C237" s="6"/>
      <c r="D237" s="26"/>
      <c r="E237" s="26"/>
      <c r="F237" s="26"/>
      <c r="G237" s="26"/>
    </row>
    <row r="238" spans="1:7" x14ac:dyDescent="0.25">
      <c r="A238" s="25" t="s">
        <v>41</v>
      </c>
      <c r="B238" s="26"/>
      <c r="C238" s="6"/>
      <c r="D238" s="26"/>
      <c r="E238" s="26"/>
      <c r="F238" s="26"/>
      <c r="G238" s="26"/>
    </row>
    <row r="239" spans="1:7" x14ac:dyDescent="0.25">
      <c r="A239" s="16" t="s">
        <v>31</v>
      </c>
      <c r="B239" s="17">
        <v>99000</v>
      </c>
      <c r="D239" s="17">
        <f>D234</f>
        <v>50454.5455</v>
      </c>
      <c r="E239" s="17">
        <f>E234</f>
        <v>50454.5455</v>
      </c>
      <c r="F239" s="17">
        <f>F234</f>
        <v>40363.636400000003</v>
      </c>
      <c r="G239" s="17">
        <f>G234</f>
        <v>50454.5455</v>
      </c>
    </row>
    <row r="240" spans="1:7" x14ac:dyDescent="0.25">
      <c r="A240" s="16" t="s">
        <v>42</v>
      </c>
      <c r="B240" s="17"/>
      <c r="D240" s="23"/>
      <c r="E240" s="23"/>
      <c r="F240" s="23"/>
      <c r="G240" s="23"/>
    </row>
    <row r="241" spans="1:7" s="24" customFormat="1" x14ac:dyDescent="0.25">
      <c r="A241" s="22" t="s">
        <v>43</v>
      </c>
      <c r="B241" s="23"/>
      <c r="D241" s="23" t="s">
        <v>22</v>
      </c>
      <c r="E241" s="23" t="s">
        <v>22</v>
      </c>
      <c r="F241" s="23" t="s">
        <v>22</v>
      </c>
      <c r="G241" s="23" t="s">
        <v>22</v>
      </c>
    </row>
    <row r="242" spans="1:7" s="24" customFormat="1" x14ac:dyDescent="0.25">
      <c r="A242" s="22" t="s">
        <v>44</v>
      </c>
      <c r="B242" s="23"/>
      <c r="D242" s="23" t="s">
        <v>22</v>
      </c>
      <c r="E242" s="23" t="s">
        <v>22</v>
      </c>
      <c r="F242" s="23" t="s">
        <v>22</v>
      </c>
      <c r="G242" s="23" t="s">
        <v>22</v>
      </c>
    </row>
    <row r="243" spans="1:7" s="24" customFormat="1" x14ac:dyDescent="0.25">
      <c r="A243" s="22" t="s">
        <v>45</v>
      </c>
      <c r="B243" s="23"/>
      <c r="D243" s="23">
        <v>50454.550500000005</v>
      </c>
      <c r="E243" s="23">
        <v>50454.550500000005</v>
      </c>
      <c r="F243" s="23">
        <v>50454.550500000005</v>
      </c>
      <c r="G243" s="23">
        <v>50454.550500000005</v>
      </c>
    </row>
    <row r="245" spans="1:7" ht="15" x14ac:dyDescent="0.25">
      <c r="B245" s="7" t="s">
        <v>1</v>
      </c>
      <c r="D245" s="96" t="s">
        <v>72</v>
      </c>
      <c r="E245" s="97"/>
      <c r="F245" s="98"/>
      <c r="G245" s="8"/>
    </row>
    <row r="246" spans="1:7" ht="15" x14ac:dyDescent="0.25">
      <c r="A246" s="9" t="s">
        <v>3</v>
      </c>
      <c r="B246" s="44" t="s">
        <v>79</v>
      </c>
      <c r="D246" s="10" t="s">
        <v>5</v>
      </c>
      <c r="E246" s="10" t="s">
        <v>6</v>
      </c>
      <c r="F246" s="10" t="s">
        <v>7</v>
      </c>
      <c r="G246" s="11" t="s">
        <v>8</v>
      </c>
    </row>
    <row r="247" spans="1:7" ht="15" x14ac:dyDescent="0.25">
      <c r="A247" s="12" t="s">
        <v>9</v>
      </c>
      <c r="B247" s="13"/>
      <c r="D247" s="99" t="s">
        <v>59</v>
      </c>
      <c r="E247" s="100"/>
      <c r="F247" s="37" t="s">
        <v>74</v>
      </c>
      <c r="G247" s="13"/>
    </row>
    <row r="248" spans="1:7" ht="15" x14ac:dyDescent="0.25">
      <c r="A248" s="14" t="s">
        <v>11</v>
      </c>
      <c r="B248" s="15"/>
      <c r="D248" s="15" t="s">
        <v>80</v>
      </c>
      <c r="E248" s="15" t="s">
        <v>81</v>
      </c>
      <c r="F248" s="15" t="s">
        <v>76</v>
      </c>
      <c r="G248" s="15" t="s">
        <v>80</v>
      </c>
    </row>
    <row r="249" spans="1:7" x14ac:dyDescent="0.25">
      <c r="A249" s="16" t="s">
        <v>16</v>
      </c>
      <c r="B249" s="17">
        <v>126237.27284100001</v>
      </c>
      <c r="D249" s="17">
        <f>125100*100.909091%</f>
        <v>126237.27284100001</v>
      </c>
      <c r="E249" s="17">
        <f>99000*100.909091%</f>
        <v>99900.000090000001</v>
      </c>
      <c r="F249" s="17">
        <f>99000*100.909091%</f>
        <v>99900.000090000001</v>
      </c>
      <c r="G249" s="17">
        <f>125100*100.909091%</f>
        <v>126237.27284100001</v>
      </c>
    </row>
    <row r="250" spans="1:7" ht="15" x14ac:dyDescent="0.25">
      <c r="A250" s="18" t="s">
        <v>17</v>
      </c>
      <c r="B250" s="19">
        <v>1180636.3647</v>
      </c>
      <c r="C250" s="20"/>
      <c r="D250" s="19">
        <f>1170000*100.909091%</f>
        <v>1180636.3647</v>
      </c>
      <c r="E250" s="19">
        <f>990000*100.909091%</f>
        <v>999000.0009000001</v>
      </c>
      <c r="F250" s="19">
        <f>750000*100.909091%</f>
        <v>756818.1825</v>
      </c>
      <c r="G250" s="19">
        <f>1170000*100.909091%</f>
        <v>1180636.3647</v>
      </c>
    </row>
    <row r="251" spans="1:7" ht="15" x14ac:dyDescent="0.25">
      <c r="A251" s="18" t="s">
        <v>18</v>
      </c>
      <c r="B251" s="19"/>
      <c r="C251" s="20"/>
      <c r="D251" s="19"/>
      <c r="E251" s="19"/>
      <c r="F251" s="19"/>
      <c r="G251" s="19"/>
    </row>
    <row r="252" spans="1:7" s="24" customFormat="1" x14ac:dyDescent="0.25">
      <c r="A252" s="22" t="s">
        <v>19</v>
      </c>
      <c r="B252" s="23"/>
      <c r="D252" s="23" t="s">
        <v>21</v>
      </c>
      <c r="E252" s="42" t="s">
        <v>21</v>
      </c>
      <c r="F252" s="23" t="s">
        <v>77</v>
      </c>
      <c r="G252" s="23" t="s">
        <v>21</v>
      </c>
    </row>
    <row r="253" spans="1:7" s="24" customFormat="1" x14ac:dyDescent="0.25">
      <c r="A253" s="22" t="s">
        <v>23</v>
      </c>
      <c r="B253" s="23"/>
      <c r="D253" s="23" t="s">
        <v>21</v>
      </c>
      <c r="E253" s="42" t="s">
        <v>21</v>
      </c>
      <c r="F253" s="23" t="s">
        <v>77</v>
      </c>
      <c r="G253" s="23" t="s">
        <v>21</v>
      </c>
    </row>
    <row r="254" spans="1:7" s="24" customFormat="1" x14ac:dyDescent="0.25">
      <c r="A254" s="22" t="s">
        <v>24</v>
      </c>
      <c r="B254" s="23"/>
      <c r="D254" s="23">
        <v>302726.97000000003</v>
      </c>
      <c r="E254" s="23">
        <v>302726.97000000003</v>
      </c>
      <c r="F254" s="23">
        <v>302726.97000000003</v>
      </c>
      <c r="G254" s="23">
        <v>302726.97000000003</v>
      </c>
    </row>
    <row r="255" spans="1:7" x14ac:dyDescent="0.25">
      <c r="A255" s="25" t="s">
        <v>26</v>
      </c>
      <c r="B255" s="26"/>
      <c r="C255" s="6"/>
      <c r="D255" s="26"/>
      <c r="E255" s="26" t="s">
        <v>27</v>
      </c>
      <c r="F255" s="26"/>
      <c r="G255" s="26"/>
    </row>
    <row r="256" spans="1:7" x14ac:dyDescent="0.25">
      <c r="A256" s="25" t="s">
        <v>29</v>
      </c>
      <c r="B256" s="26"/>
      <c r="C256" s="6"/>
      <c r="D256" s="26" t="s">
        <v>54</v>
      </c>
      <c r="E256" s="26" t="s">
        <v>64</v>
      </c>
      <c r="F256" s="26"/>
      <c r="G256" s="26" t="s">
        <v>30</v>
      </c>
    </row>
    <row r="257" spans="1:7" ht="15" x14ac:dyDescent="0.25">
      <c r="A257" s="18" t="s">
        <v>31</v>
      </c>
      <c r="B257" s="19">
        <f>B249</f>
        <v>126237.27284100001</v>
      </c>
      <c r="C257" s="20"/>
      <c r="D257" s="19">
        <f>D249</f>
        <v>126237.27284100001</v>
      </c>
      <c r="E257" s="19">
        <f>E249</f>
        <v>99900.000090000001</v>
      </c>
      <c r="F257" s="19">
        <f>F249</f>
        <v>99900.000090000001</v>
      </c>
      <c r="G257" s="19">
        <f>G249</f>
        <v>126237.27284100001</v>
      </c>
    </row>
    <row r="258" spans="1:7" s="20" customFormat="1" ht="15" x14ac:dyDescent="0.25">
      <c r="A258" s="18" t="s">
        <v>32</v>
      </c>
      <c r="B258" s="19"/>
      <c r="D258" s="19"/>
      <c r="E258" s="19"/>
      <c r="F258" s="19"/>
      <c r="G258" s="19"/>
    </row>
    <row r="259" spans="1:7" x14ac:dyDescent="0.25">
      <c r="A259" s="22" t="s">
        <v>19</v>
      </c>
      <c r="B259" s="23"/>
      <c r="C259" s="24"/>
      <c r="D259" s="23">
        <v>20181.820200000002</v>
      </c>
      <c r="E259" s="23">
        <v>20181.820200000002</v>
      </c>
      <c r="F259" s="23" t="s">
        <v>33</v>
      </c>
      <c r="G259" s="23">
        <v>20181.820200000002</v>
      </c>
    </row>
    <row r="260" spans="1:7" x14ac:dyDescent="0.25">
      <c r="A260" s="22" t="s">
        <v>23</v>
      </c>
      <c r="B260" s="23"/>
      <c r="C260" s="24"/>
      <c r="D260" s="23">
        <v>30272.730300000003</v>
      </c>
      <c r="E260" s="23">
        <v>30272.730300000003</v>
      </c>
      <c r="F260" s="23" t="s">
        <v>33</v>
      </c>
      <c r="G260" s="23">
        <v>30272.730300000003</v>
      </c>
    </row>
    <row r="261" spans="1:7" x14ac:dyDescent="0.25">
      <c r="A261" s="22" t="s">
        <v>24</v>
      </c>
      <c r="B261" s="23"/>
      <c r="C261" s="24"/>
      <c r="D261" s="23">
        <v>50454.550500000005</v>
      </c>
      <c r="E261" s="23">
        <v>50454.550500000005</v>
      </c>
      <c r="F261" s="23">
        <v>50454.550500000005</v>
      </c>
      <c r="G261" s="23">
        <v>50454.550500000005</v>
      </c>
    </row>
    <row r="262" spans="1:7" ht="15" x14ac:dyDescent="0.25">
      <c r="A262" s="27" t="s">
        <v>34</v>
      </c>
      <c r="B262" s="28"/>
      <c r="C262" s="20"/>
      <c r="D262" s="28">
        <v>605454.55050000001</v>
      </c>
      <c r="E262" s="28">
        <v>605454.55050000001</v>
      </c>
      <c r="F262" s="43">
        <v>605454.55050000001</v>
      </c>
      <c r="G262" s="28">
        <v>605454.55050000001</v>
      </c>
    </row>
    <row r="263" spans="1:7" ht="15" x14ac:dyDescent="0.25">
      <c r="A263" s="29" t="s">
        <v>36</v>
      </c>
      <c r="B263" s="30"/>
      <c r="D263" s="30"/>
      <c r="E263" s="30"/>
      <c r="F263" s="31"/>
      <c r="G263" s="30"/>
    </row>
    <row r="264" spans="1:7" x14ac:dyDescent="0.25">
      <c r="A264" s="16" t="s">
        <v>37</v>
      </c>
      <c r="B264" s="17">
        <v>50000</v>
      </c>
      <c r="D264" s="17">
        <f>50000*100.909091%</f>
        <v>50454.5455</v>
      </c>
      <c r="E264" s="17">
        <f>99000*100.909091%</f>
        <v>99900.000090000001</v>
      </c>
      <c r="F264" s="17">
        <f>40000*100.909091%</f>
        <v>40363.636400000003</v>
      </c>
      <c r="G264" s="17">
        <f>50000*100.909091%</f>
        <v>50454.5455</v>
      </c>
    </row>
    <row r="265" spans="1:7" ht="15" x14ac:dyDescent="0.25">
      <c r="A265" s="18" t="s">
        <v>38</v>
      </c>
      <c r="B265" s="19">
        <v>500000</v>
      </c>
      <c r="C265" s="20"/>
      <c r="D265" s="19">
        <f>500000*100.909091%</f>
        <v>504545.45500000002</v>
      </c>
      <c r="E265" s="19">
        <f>600000*100.909091%</f>
        <v>605454.54600000009</v>
      </c>
      <c r="F265" s="19">
        <f>400000*100.909091%</f>
        <v>403636.364</v>
      </c>
      <c r="G265" s="19">
        <f>500000*100.909091%</f>
        <v>504545.45500000002</v>
      </c>
    </row>
    <row r="266" spans="1:7" ht="15" x14ac:dyDescent="0.25">
      <c r="A266" s="18" t="s">
        <v>39</v>
      </c>
      <c r="B266" s="17"/>
      <c r="D266" s="23" t="s">
        <v>22</v>
      </c>
      <c r="E266" s="23" t="s">
        <v>22</v>
      </c>
      <c r="F266" s="23" t="s">
        <v>22</v>
      </c>
      <c r="G266" s="23" t="s">
        <v>22</v>
      </c>
    </row>
    <row r="267" spans="1:7" x14ac:dyDescent="0.25">
      <c r="A267" s="25" t="s">
        <v>40</v>
      </c>
      <c r="B267" s="26"/>
      <c r="C267" s="6"/>
      <c r="D267" s="26"/>
      <c r="E267" s="26"/>
      <c r="F267" s="26"/>
      <c r="G267" s="26"/>
    </row>
    <row r="268" spans="1:7" x14ac:dyDescent="0.25">
      <c r="A268" s="25" t="s">
        <v>41</v>
      </c>
      <c r="B268" s="26"/>
      <c r="C268" s="6"/>
      <c r="D268" s="26"/>
      <c r="E268" s="26"/>
      <c r="F268" s="26"/>
      <c r="G268" s="26"/>
    </row>
    <row r="269" spans="1:7" x14ac:dyDescent="0.25">
      <c r="A269" s="16" t="s">
        <v>31</v>
      </c>
      <c r="B269" s="17">
        <v>50000</v>
      </c>
      <c r="D269" s="17">
        <f>D264</f>
        <v>50454.5455</v>
      </c>
      <c r="E269" s="17">
        <f>E264</f>
        <v>99900.000090000001</v>
      </c>
      <c r="F269" s="17">
        <f>F264</f>
        <v>40363.636400000003</v>
      </c>
      <c r="G269" s="17">
        <f>G264</f>
        <v>50454.5455</v>
      </c>
    </row>
    <row r="270" spans="1:7" x14ac:dyDescent="0.25">
      <c r="A270" s="16" t="s">
        <v>42</v>
      </c>
      <c r="B270" s="17"/>
      <c r="D270" s="23"/>
      <c r="E270" s="23"/>
      <c r="F270" s="23"/>
      <c r="G270" s="23"/>
    </row>
    <row r="271" spans="1:7" s="24" customFormat="1" x14ac:dyDescent="0.25">
      <c r="A271" s="22" t="s">
        <v>43</v>
      </c>
      <c r="B271" s="23"/>
      <c r="D271" s="23" t="s">
        <v>22</v>
      </c>
      <c r="E271" s="23" t="s">
        <v>22</v>
      </c>
      <c r="F271" s="23" t="s">
        <v>22</v>
      </c>
      <c r="G271" s="23" t="s">
        <v>22</v>
      </c>
    </row>
    <row r="272" spans="1:7" s="24" customFormat="1" x14ac:dyDescent="0.25">
      <c r="A272" s="22" t="s">
        <v>44</v>
      </c>
      <c r="B272" s="23"/>
      <c r="D272" s="23" t="s">
        <v>22</v>
      </c>
      <c r="E272" s="23" t="s">
        <v>22</v>
      </c>
      <c r="F272" s="23" t="s">
        <v>22</v>
      </c>
      <c r="G272" s="23" t="s">
        <v>22</v>
      </c>
    </row>
    <row r="273" spans="1:7" s="24" customFormat="1" x14ac:dyDescent="0.25">
      <c r="A273" s="22" t="s">
        <v>45</v>
      </c>
      <c r="B273" s="23"/>
      <c r="D273" s="23">
        <v>50454.550500000005</v>
      </c>
      <c r="E273" s="23">
        <v>50454.550500000005</v>
      </c>
      <c r="F273" s="23">
        <v>50454.550500000005</v>
      </c>
      <c r="G273" s="23">
        <v>50454.550500000005</v>
      </c>
    </row>
    <row r="275" spans="1:7" ht="15" x14ac:dyDescent="0.25">
      <c r="B275" s="7" t="s">
        <v>1</v>
      </c>
      <c r="D275" s="96" t="s">
        <v>72</v>
      </c>
      <c r="E275" s="97"/>
      <c r="F275" s="98"/>
      <c r="G275" s="8"/>
    </row>
    <row r="276" spans="1:7" ht="15" x14ac:dyDescent="0.25">
      <c r="A276" s="9" t="s">
        <v>3</v>
      </c>
      <c r="B276" s="10" t="s">
        <v>82</v>
      </c>
      <c r="D276" s="10" t="s">
        <v>5</v>
      </c>
      <c r="E276" s="10" t="s">
        <v>6</v>
      </c>
      <c r="F276" s="10" t="s">
        <v>7</v>
      </c>
      <c r="G276" s="11" t="s">
        <v>8</v>
      </c>
    </row>
    <row r="277" spans="1:7" ht="15" x14ac:dyDescent="0.25">
      <c r="A277" s="12" t="s">
        <v>9</v>
      </c>
      <c r="B277" s="13"/>
      <c r="D277" s="99" t="s">
        <v>59</v>
      </c>
      <c r="E277" s="100"/>
      <c r="F277" s="101"/>
      <c r="G277" s="13"/>
    </row>
    <row r="278" spans="1:7" ht="15" x14ac:dyDescent="0.25">
      <c r="A278" s="14" t="s">
        <v>11</v>
      </c>
      <c r="B278" s="15"/>
      <c r="D278" s="15" t="s">
        <v>81</v>
      </c>
      <c r="E278" s="15" t="s">
        <v>83</v>
      </c>
      <c r="F278" s="15" t="s">
        <v>84</v>
      </c>
      <c r="G278" s="15"/>
    </row>
    <row r="279" spans="1:7" x14ac:dyDescent="0.25">
      <c r="A279" s="16" t="s">
        <v>16</v>
      </c>
      <c r="B279" s="17">
        <v>99900.000090000001</v>
      </c>
      <c r="D279" s="17">
        <f>99000*100.909091%</f>
        <v>99900.000090000001</v>
      </c>
      <c r="E279" s="17">
        <f>99000*100.909091%</f>
        <v>99900.000090000001</v>
      </c>
      <c r="F279" s="17">
        <f>99000*100.909091%</f>
        <v>99900.000090000001</v>
      </c>
      <c r="G279" s="17"/>
    </row>
    <row r="280" spans="1:7" ht="15" x14ac:dyDescent="0.25">
      <c r="A280" s="18" t="s">
        <v>17</v>
      </c>
      <c r="B280" s="19">
        <v>999000.0009000001</v>
      </c>
      <c r="C280" s="20"/>
      <c r="D280" s="19">
        <f>990000*100.909091%</f>
        <v>999000.0009000001</v>
      </c>
      <c r="E280" s="19">
        <f>D280*70%</f>
        <v>699300.00063000002</v>
      </c>
      <c r="F280" s="19">
        <f>495000*100.909091%</f>
        <v>499500.00045000005</v>
      </c>
      <c r="G280" s="19"/>
    </row>
    <row r="281" spans="1:7" ht="15" x14ac:dyDescent="0.25">
      <c r="A281" s="18" t="s">
        <v>18</v>
      </c>
      <c r="B281" s="19"/>
      <c r="C281" s="20"/>
      <c r="D281" s="19"/>
      <c r="E281" s="19"/>
      <c r="F281" s="19"/>
      <c r="G281" s="19"/>
    </row>
    <row r="282" spans="1:7" s="24" customFormat="1" x14ac:dyDescent="0.25">
      <c r="A282" s="22" t="s">
        <v>19</v>
      </c>
      <c r="B282" s="23"/>
      <c r="D282" s="23">
        <v>201818.17980000001</v>
      </c>
      <c r="E282" s="23">
        <v>201818.17980000001</v>
      </c>
      <c r="F282" s="23">
        <v>100909.08990000001</v>
      </c>
      <c r="G282" s="23"/>
    </row>
    <row r="283" spans="1:7" s="24" customFormat="1" x14ac:dyDescent="0.25">
      <c r="A283" s="22" t="s">
        <v>23</v>
      </c>
      <c r="B283" s="23"/>
      <c r="D283" s="23">
        <v>302726.97000000003</v>
      </c>
      <c r="E283" s="23">
        <v>302726.97000000003</v>
      </c>
      <c r="F283" s="23">
        <v>151363.64040000003</v>
      </c>
      <c r="G283" s="23"/>
    </row>
    <row r="284" spans="1:7" s="24" customFormat="1" x14ac:dyDescent="0.25">
      <c r="A284" s="22" t="s">
        <v>24</v>
      </c>
      <c r="B284" s="23"/>
      <c r="D284" s="23">
        <v>302726.97000000003</v>
      </c>
      <c r="E284" s="23">
        <v>302726.97000000003</v>
      </c>
      <c r="F284" s="23">
        <v>181636.3596</v>
      </c>
      <c r="G284" s="23"/>
    </row>
    <row r="285" spans="1:7" x14ac:dyDescent="0.25">
      <c r="A285" s="25" t="s">
        <v>26</v>
      </c>
      <c r="B285" s="26" t="s">
        <v>27</v>
      </c>
      <c r="C285" s="6"/>
      <c r="D285" s="26" t="s">
        <v>27</v>
      </c>
      <c r="E285" s="26" t="s">
        <v>27</v>
      </c>
      <c r="F285" s="26" t="s">
        <v>52</v>
      </c>
      <c r="G285" s="26"/>
    </row>
    <row r="286" spans="1:7" x14ac:dyDescent="0.25">
      <c r="A286" s="25" t="s">
        <v>29</v>
      </c>
      <c r="B286" s="26"/>
      <c r="C286" s="6"/>
      <c r="D286" s="26" t="s">
        <v>53</v>
      </c>
      <c r="E286" s="26" t="s">
        <v>64</v>
      </c>
      <c r="F286" s="26" t="s">
        <v>78</v>
      </c>
      <c r="G286" s="26"/>
    </row>
    <row r="287" spans="1:7" ht="15" x14ac:dyDescent="0.25">
      <c r="A287" s="18" t="s">
        <v>31</v>
      </c>
      <c r="B287" s="19">
        <v>99000</v>
      </c>
      <c r="C287" s="20"/>
      <c r="D287" s="19">
        <f>D279</f>
        <v>99900.000090000001</v>
      </c>
      <c r="E287" s="19">
        <f>E279</f>
        <v>99900.000090000001</v>
      </c>
      <c r="F287" s="19">
        <f>F279</f>
        <v>99900.000090000001</v>
      </c>
      <c r="G287" s="19"/>
    </row>
    <row r="288" spans="1:7" s="20" customFormat="1" ht="15" x14ac:dyDescent="0.25">
      <c r="A288" s="18" t="s">
        <v>32</v>
      </c>
      <c r="B288" s="19"/>
      <c r="D288" s="19"/>
      <c r="E288" s="19"/>
      <c r="F288" s="19"/>
      <c r="G288" s="19"/>
    </row>
    <row r="289" spans="1:9" x14ac:dyDescent="0.25">
      <c r="A289" s="22" t="s">
        <v>19</v>
      </c>
      <c r="B289" s="23"/>
      <c r="C289" s="24"/>
      <c r="D289" s="23">
        <v>20181.820200000002</v>
      </c>
      <c r="E289" s="23">
        <v>20181.820200000002</v>
      </c>
      <c r="F289" s="23">
        <v>20181.820200000002</v>
      </c>
      <c r="G289" s="23"/>
    </row>
    <row r="290" spans="1:9" x14ac:dyDescent="0.25">
      <c r="A290" s="22" t="s">
        <v>23</v>
      </c>
      <c r="B290" s="23"/>
      <c r="C290" s="24"/>
      <c r="D290" s="23">
        <v>30272.730300000003</v>
      </c>
      <c r="E290" s="23">
        <v>30272.730300000003</v>
      </c>
      <c r="F290" s="23">
        <v>30272.730300000003</v>
      </c>
      <c r="G290" s="23"/>
    </row>
    <row r="291" spans="1:9" x14ac:dyDescent="0.25">
      <c r="A291" s="22" t="s">
        <v>24</v>
      </c>
      <c r="B291" s="23"/>
      <c r="C291" s="24"/>
      <c r="D291" s="23">
        <v>50454.550500000005</v>
      </c>
      <c r="E291" s="23">
        <v>50454.550500000005</v>
      </c>
      <c r="F291" s="23">
        <v>50454.550500000005</v>
      </c>
      <c r="G291" s="23"/>
    </row>
    <row r="292" spans="1:9" ht="15" x14ac:dyDescent="0.25">
      <c r="A292" s="27" t="s">
        <v>34</v>
      </c>
      <c r="B292" s="28"/>
      <c r="C292" s="20"/>
      <c r="D292" s="28">
        <v>605454.55050000001</v>
      </c>
      <c r="E292" s="28">
        <v>605454.55050000001</v>
      </c>
      <c r="F292" s="28">
        <v>302727.19200000004</v>
      </c>
      <c r="G292" s="28"/>
    </row>
    <row r="293" spans="1:9" ht="15" x14ac:dyDescent="0.25">
      <c r="A293" s="29" t="s">
        <v>36</v>
      </c>
      <c r="B293" s="30"/>
      <c r="D293" s="30"/>
      <c r="E293" s="30"/>
      <c r="F293" s="31"/>
      <c r="G293" s="30"/>
    </row>
    <row r="294" spans="1:9" x14ac:dyDescent="0.25">
      <c r="A294" s="16" t="s">
        <v>37</v>
      </c>
      <c r="B294" s="17">
        <v>99000</v>
      </c>
      <c r="D294" s="17">
        <f>99000*100.909091%</f>
        <v>99900.000090000001</v>
      </c>
      <c r="E294" s="17">
        <f>99000*100.909091%</f>
        <v>99900.000090000001</v>
      </c>
      <c r="F294" s="17">
        <f>99000*100.909091%</f>
        <v>99900.000090000001</v>
      </c>
      <c r="G294" s="17"/>
    </row>
    <row r="295" spans="1:9" ht="15" x14ac:dyDescent="0.25">
      <c r="A295" s="18" t="s">
        <v>38</v>
      </c>
      <c r="B295" s="19">
        <v>600000</v>
      </c>
      <c r="C295" s="20"/>
      <c r="D295" s="19">
        <f>600000*100.909091%</f>
        <v>605454.54600000009</v>
      </c>
      <c r="E295" s="19">
        <f>600000*100.909091%</f>
        <v>605454.54600000009</v>
      </c>
      <c r="F295" s="19">
        <f>300000*100.909091%</f>
        <v>302727.27300000004</v>
      </c>
      <c r="G295" s="19"/>
    </row>
    <row r="296" spans="1:9" ht="15" x14ac:dyDescent="0.25">
      <c r="A296" s="18" t="s">
        <v>39</v>
      </c>
      <c r="B296" s="17"/>
      <c r="D296" s="23" t="s">
        <v>22</v>
      </c>
      <c r="E296" s="23" t="s">
        <v>22</v>
      </c>
      <c r="F296" s="23" t="s">
        <v>22</v>
      </c>
      <c r="G296" s="23"/>
    </row>
    <row r="297" spans="1:9" x14ac:dyDescent="0.25">
      <c r="A297" s="25" t="s">
        <v>40</v>
      </c>
      <c r="B297" s="26"/>
      <c r="C297" s="6"/>
      <c r="D297" s="26"/>
      <c r="E297" s="26"/>
      <c r="F297" s="26"/>
      <c r="G297" s="26"/>
    </row>
    <row r="298" spans="1:9" x14ac:dyDescent="0.25">
      <c r="A298" s="25" t="s">
        <v>41</v>
      </c>
      <c r="B298" s="26"/>
      <c r="C298" s="6"/>
      <c r="D298" s="26"/>
      <c r="E298" s="26"/>
      <c r="F298" s="26"/>
      <c r="G298" s="26"/>
    </row>
    <row r="299" spans="1:9" x14ac:dyDescent="0.25">
      <c r="A299" s="16" t="s">
        <v>31</v>
      </c>
      <c r="B299" s="17">
        <v>99000</v>
      </c>
      <c r="D299" s="17">
        <f>D294</f>
        <v>99900.000090000001</v>
      </c>
      <c r="E299" s="17">
        <f>E294</f>
        <v>99900.000090000001</v>
      </c>
      <c r="F299" s="17">
        <f>F294</f>
        <v>99900.000090000001</v>
      </c>
      <c r="G299" s="17"/>
      <c r="H299" s="17">
        <f>H294</f>
        <v>0</v>
      </c>
      <c r="I299" s="36"/>
    </row>
    <row r="300" spans="1:9" x14ac:dyDescent="0.25">
      <c r="A300" s="16" t="s">
        <v>42</v>
      </c>
      <c r="B300" s="17"/>
      <c r="D300" s="23"/>
      <c r="E300" s="23"/>
      <c r="F300" s="23"/>
      <c r="G300" s="23"/>
    </row>
    <row r="301" spans="1:9" s="24" customFormat="1" x14ac:dyDescent="0.25">
      <c r="A301" s="22" t="s">
        <v>43</v>
      </c>
      <c r="B301" s="23"/>
      <c r="D301" s="23" t="s">
        <v>22</v>
      </c>
      <c r="E301" s="23" t="s">
        <v>22</v>
      </c>
      <c r="F301" s="23" t="s">
        <v>22</v>
      </c>
      <c r="G301" s="23"/>
    </row>
    <row r="302" spans="1:9" s="24" customFormat="1" x14ac:dyDescent="0.25">
      <c r="A302" s="22" t="s">
        <v>44</v>
      </c>
      <c r="B302" s="23"/>
      <c r="D302" s="23" t="s">
        <v>22</v>
      </c>
      <c r="E302" s="23" t="s">
        <v>22</v>
      </c>
      <c r="F302" s="23" t="s">
        <v>22</v>
      </c>
      <c r="G302" s="23"/>
    </row>
    <row r="303" spans="1:9" s="24" customFormat="1" x14ac:dyDescent="0.25">
      <c r="A303" s="22" t="s">
        <v>45</v>
      </c>
      <c r="B303" s="23"/>
      <c r="D303" s="23">
        <v>50454.550500000005</v>
      </c>
      <c r="E303" s="23">
        <v>50454.550500000005</v>
      </c>
      <c r="F303" s="23">
        <v>50454.550500000005</v>
      </c>
      <c r="G303" s="23"/>
    </row>
    <row r="305" spans="1:7" ht="15" x14ac:dyDescent="0.25">
      <c r="B305" s="7" t="s">
        <v>1</v>
      </c>
      <c r="D305" s="96" t="s">
        <v>72</v>
      </c>
      <c r="E305" s="97"/>
      <c r="F305" s="98"/>
      <c r="G305" s="8"/>
    </row>
    <row r="306" spans="1:7" ht="15" x14ac:dyDescent="0.25">
      <c r="A306" s="9" t="s">
        <v>3</v>
      </c>
      <c r="B306" s="45" t="s">
        <v>85</v>
      </c>
      <c r="D306" s="10" t="s">
        <v>5</v>
      </c>
      <c r="E306" s="10" t="s">
        <v>6</v>
      </c>
      <c r="F306" s="10" t="s">
        <v>7</v>
      </c>
      <c r="G306" s="11" t="s">
        <v>8</v>
      </c>
    </row>
    <row r="307" spans="1:7" ht="15" x14ac:dyDescent="0.25">
      <c r="A307" s="12" t="s">
        <v>9</v>
      </c>
      <c r="B307" s="13"/>
      <c r="D307" s="99" t="s">
        <v>74</v>
      </c>
      <c r="E307" s="100"/>
      <c r="F307" s="101"/>
      <c r="G307" s="13"/>
    </row>
    <row r="308" spans="1:7" ht="15" x14ac:dyDescent="0.25">
      <c r="A308" s="14" t="s">
        <v>11</v>
      </c>
      <c r="B308" s="15"/>
      <c r="D308" s="15" t="s">
        <v>76</v>
      </c>
      <c r="E308" s="15" t="s">
        <v>76</v>
      </c>
      <c r="F308" s="15" t="s">
        <v>86</v>
      </c>
      <c r="G308" s="15"/>
    </row>
    <row r="309" spans="1:7" x14ac:dyDescent="0.25">
      <c r="A309" s="16" t="s">
        <v>16</v>
      </c>
      <c r="B309" s="17">
        <v>99900.000090000001</v>
      </c>
      <c r="D309" s="17">
        <f>99000*100.909091%</f>
        <v>99900.000090000001</v>
      </c>
      <c r="E309" s="17">
        <f>99000*100.909091%</f>
        <v>99900.000090000001</v>
      </c>
      <c r="F309" s="17">
        <f>99000*100.909091%</f>
        <v>99900.000090000001</v>
      </c>
      <c r="G309" s="17"/>
    </row>
    <row r="310" spans="1:7" ht="15" x14ac:dyDescent="0.25">
      <c r="A310" s="18" t="s">
        <v>17</v>
      </c>
      <c r="B310" s="19">
        <v>756818.1825</v>
      </c>
      <c r="C310" s="20"/>
      <c r="D310" s="19">
        <f>750000*100.909091%</f>
        <v>756818.1825</v>
      </c>
      <c r="E310" s="19">
        <f>750000*100.909091%</f>
        <v>756818.1825</v>
      </c>
      <c r="F310" s="19">
        <f>420000*100.909091%</f>
        <v>423818.18220000004</v>
      </c>
      <c r="G310" s="19"/>
    </row>
    <row r="311" spans="1:7" ht="15" x14ac:dyDescent="0.25">
      <c r="A311" s="18" t="s">
        <v>18</v>
      </c>
      <c r="B311" s="19"/>
      <c r="C311" s="20"/>
      <c r="D311" s="19"/>
      <c r="E311" s="19"/>
      <c r="F311" s="19"/>
      <c r="G311" s="19"/>
    </row>
    <row r="312" spans="1:7" s="24" customFormat="1" x14ac:dyDescent="0.25">
      <c r="A312" s="22" t="s">
        <v>19</v>
      </c>
      <c r="B312" s="23"/>
      <c r="D312" s="23" t="s">
        <v>21</v>
      </c>
      <c r="E312" s="23" t="s">
        <v>21</v>
      </c>
      <c r="F312" s="23" t="s">
        <v>21</v>
      </c>
      <c r="G312" s="23"/>
    </row>
    <row r="313" spans="1:7" s="24" customFormat="1" x14ac:dyDescent="0.25">
      <c r="A313" s="22" t="s">
        <v>23</v>
      </c>
      <c r="B313" s="23"/>
      <c r="D313" s="23" t="s">
        <v>21</v>
      </c>
      <c r="E313" s="23" t="s">
        <v>21</v>
      </c>
      <c r="F313" s="23" t="s">
        <v>21</v>
      </c>
      <c r="G313" s="23"/>
    </row>
    <row r="314" spans="1:7" s="24" customFormat="1" x14ac:dyDescent="0.25">
      <c r="A314" s="22" t="s">
        <v>24</v>
      </c>
      <c r="B314" s="23"/>
      <c r="D314" s="23">
        <v>302726.97000000003</v>
      </c>
      <c r="E314" s="23">
        <v>302726.97000000003</v>
      </c>
      <c r="F314" s="23">
        <v>181636.3596</v>
      </c>
      <c r="G314" s="23"/>
    </row>
    <row r="315" spans="1:7" x14ac:dyDescent="0.25">
      <c r="A315" s="25" t="s">
        <v>26</v>
      </c>
      <c r="B315" s="26"/>
      <c r="C315" s="6"/>
      <c r="D315" s="26"/>
      <c r="E315" s="26"/>
      <c r="F315" s="26"/>
      <c r="G315" s="26"/>
    </row>
    <row r="316" spans="1:7" x14ac:dyDescent="0.25">
      <c r="A316" s="25" t="s">
        <v>29</v>
      </c>
      <c r="B316" s="26"/>
      <c r="C316" s="6"/>
      <c r="D316" s="26" t="s">
        <v>64</v>
      </c>
      <c r="E316" s="26" t="s">
        <v>53</v>
      </c>
      <c r="F316" s="26" t="s">
        <v>78</v>
      </c>
      <c r="G316" s="26"/>
    </row>
    <row r="317" spans="1:7" ht="15" x14ac:dyDescent="0.25">
      <c r="A317" s="18" t="s">
        <v>31</v>
      </c>
      <c r="B317" s="19">
        <v>99000</v>
      </c>
      <c r="C317" s="20"/>
      <c r="D317" s="19">
        <f>D309</f>
        <v>99900.000090000001</v>
      </c>
      <c r="E317" s="19">
        <f>E309</f>
        <v>99900.000090000001</v>
      </c>
      <c r="F317" s="19">
        <f>F309</f>
        <v>99900.000090000001</v>
      </c>
      <c r="G317" s="19"/>
    </row>
    <row r="318" spans="1:7" s="20" customFormat="1" ht="15" x14ac:dyDescent="0.25">
      <c r="A318" s="18" t="s">
        <v>32</v>
      </c>
      <c r="B318" s="19"/>
      <c r="D318" s="19"/>
      <c r="E318" s="19"/>
      <c r="F318" s="19"/>
      <c r="G318" s="19"/>
    </row>
    <row r="319" spans="1:7" x14ac:dyDescent="0.25">
      <c r="A319" s="22" t="s">
        <v>19</v>
      </c>
      <c r="B319" s="23"/>
      <c r="C319" s="24"/>
      <c r="D319" s="23" t="s">
        <v>33</v>
      </c>
      <c r="E319" s="23" t="s">
        <v>33</v>
      </c>
      <c r="F319" s="23" t="s">
        <v>33</v>
      </c>
      <c r="G319" s="23"/>
    </row>
    <row r="320" spans="1:7" x14ac:dyDescent="0.25">
      <c r="A320" s="22" t="s">
        <v>23</v>
      </c>
      <c r="B320" s="23"/>
      <c r="C320" s="24"/>
      <c r="D320" s="23" t="s">
        <v>33</v>
      </c>
      <c r="E320" s="23" t="s">
        <v>33</v>
      </c>
      <c r="F320" s="23" t="s">
        <v>33</v>
      </c>
      <c r="G320" s="23"/>
    </row>
    <row r="321" spans="1:7" x14ac:dyDescent="0.25">
      <c r="A321" s="22" t="s">
        <v>24</v>
      </c>
      <c r="B321" s="23"/>
      <c r="C321" s="24"/>
      <c r="D321" s="23">
        <v>50454.550500000005</v>
      </c>
      <c r="E321" s="23">
        <v>50454.550500000005</v>
      </c>
      <c r="F321" s="23">
        <v>50454.550500000005</v>
      </c>
      <c r="G321" s="23"/>
    </row>
    <row r="322" spans="1:7" ht="15" x14ac:dyDescent="0.25">
      <c r="A322" s="27" t="s">
        <v>34</v>
      </c>
      <c r="B322" s="28"/>
      <c r="C322" s="20"/>
      <c r="D322" s="28">
        <v>605454.55050000001</v>
      </c>
      <c r="E322" s="28">
        <v>605454.55050000001</v>
      </c>
      <c r="F322" s="28">
        <v>302727.19200000004</v>
      </c>
      <c r="G322" s="28"/>
    </row>
    <row r="323" spans="1:7" ht="15" x14ac:dyDescent="0.25">
      <c r="A323" s="29" t="s">
        <v>36</v>
      </c>
      <c r="B323" s="30"/>
      <c r="D323" s="30"/>
      <c r="E323" s="30"/>
      <c r="F323" s="30"/>
      <c r="G323" s="30"/>
    </row>
    <row r="324" spans="1:7" x14ac:dyDescent="0.25">
      <c r="A324" s="16" t="s">
        <v>37</v>
      </c>
      <c r="B324" s="17">
        <v>40000</v>
      </c>
      <c r="D324" s="17">
        <f>40000*100.909091%</f>
        <v>40363.636400000003</v>
      </c>
      <c r="E324" s="17">
        <f>40000*100.909091%</f>
        <v>40363.636400000003</v>
      </c>
      <c r="F324" s="17">
        <f>40000*100.909091%</f>
        <v>40363.636400000003</v>
      </c>
      <c r="G324" s="17"/>
    </row>
    <row r="325" spans="1:7" ht="15" x14ac:dyDescent="0.25">
      <c r="A325" s="18" t="s">
        <v>38</v>
      </c>
      <c r="B325" s="19">
        <v>400000</v>
      </c>
      <c r="C325" s="20"/>
      <c r="D325" s="19">
        <f>400000*100.909091%</f>
        <v>403636.364</v>
      </c>
      <c r="E325" s="19">
        <f>400000*100.909091%</f>
        <v>403636.364</v>
      </c>
      <c r="F325" s="19">
        <f>200000*100.909091%</f>
        <v>201818.182</v>
      </c>
      <c r="G325" s="19"/>
    </row>
    <row r="326" spans="1:7" ht="15" x14ac:dyDescent="0.25">
      <c r="A326" s="18" t="s">
        <v>39</v>
      </c>
      <c r="B326" s="17"/>
      <c r="D326" s="23" t="s">
        <v>22</v>
      </c>
      <c r="E326" s="23" t="s">
        <v>22</v>
      </c>
      <c r="F326" s="23" t="s">
        <v>22</v>
      </c>
      <c r="G326" s="23"/>
    </row>
    <row r="327" spans="1:7" x14ac:dyDescent="0.25">
      <c r="A327" s="25" t="s">
        <v>40</v>
      </c>
      <c r="B327" s="26"/>
      <c r="C327" s="6"/>
      <c r="D327" s="26"/>
      <c r="E327" s="26"/>
      <c r="F327" s="26"/>
      <c r="G327" s="26"/>
    </row>
    <row r="328" spans="1:7" x14ac:dyDescent="0.25">
      <c r="A328" s="25" t="s">
        <v>41</v>
      </c>
      <c r="B328" s="26"/>
      <c r="C328" s="6"/>
      <c r="D328" s="26"/>
      <c r="E328" s="26"/>
      <c r="F328" s="26"/>
      <c r="G328" s="26"/>
    </row>
    <row r="329" spans="1:7" x14ac:dyDescent="0.25">
      <c r="A329" s="16" t="s">
        <v>31</v>
      </c>
      <c r="B329" s="17">
        <f>B324</f>
        <v>40000</v>
      </c>
      <c r="D329" s="17">
        <f>D324</f>
        <v>40363.636400000003</v>
      </c>
      <c r="E329" s="17">
        <f>E324</f>
        <v>40363.636400000003</v>
      </c>
      <c r="F329" s="17">
        <f>F324</f>
        <v>40363.636400000003</v>
      </c>
      <c r="G329" s="17"/>
    </row>
    <row r="330" spans="1:7" x14ac:dyDescent="0.25">
      <c r="A330" s="16" t="s">
        <v>42</v>
      </c>
      <c r="B330" s="17"/>
      <c r="D330" s="23"/>
      <c r="E330" s="23"/>
      <c r="F330" s="23"/>
      <c r="G330" s="23"/>
    </row>
    <row r="331" spans="1:7" s="24" customFormat="1" x14ac:dyDescent="0.25">
      <c r="A331" s="22" t="s">
        <v>43</v>
      </c>
      <c r="B331" s="23"/>
      <c r="D331" s="23" t="s">
        <v>22</v>
      </c>
      <c r="E331" s="23" t="s">
        <v>22</v>
      </c>
      <c r="F331" s="23" t="s">
        <v>22</v>
      </c>
      <c r="G331" s="23"/>
    </row>
    <row r="332" spans="1:7" s="24" customFormat="1" x14ac:dyDescent="0.25">
      <c r="A332" s="22" t="s">
        <v>44</v>
      </c>
      <c r="B332" s="23"/>
      <c r="D332" s="23" t="s">
        <v>22</v>
      </c>
      <c r="E332" s="23" t="s">
        <v>22</v>
      </c>
      <c r="F332" s="23" t="s">
        <v>22</v>
      </c>
      <c r="G332" s="23"/>
    </row>
    <row r="333" spans="1:7" s="24" customFormat="1" x14ac:dyDescent="0.25">
      <c r="A333" s="22" t="s">
        <v>45</v>
      </c>
      <c r="B333" s="23"/>
      <c r="D333" s="23">
        <v>50454.550500000005</v>
      </c>
      <c r="E333" s="23">
        <v>50454.550500000005</v>
      </c>
      <c r="F333" s="23">
        <v>50454.550500000005</v>
      </c>
      <c r="G333" s="23"/>
    </row>
    <row r="335" spans="1:7" ht="15" x14ac:dyDescent="0.25">
      <c r="B335" s="7" t="s">
        <v>1</v>
      </c>
      <c r="D335" s="96" t="s">
        <v>72</v>
      </c>
      <c r="E335" s="97"/>
      <c r="F335" s="98"/>
      <c r="G335" s="8"/>
    </row>
    <row r="336" spans="1:7" ht="15" x14ac:dyDescent="0.25">
      <c r="A336" s="9" t="s">
        <v>3</v>
      </c>
      <c r="B336" s="45" t="s">
        <v>87</v>
      </c>
      <c r="D336" s="10" t="s">
        <v>5</v>
      </c>
      <c r="E336" s="10" t="s">
        <v>6</v>
      </c>
      <c r="F336" s="10" t="s">
        <v>7</v>
      </c>
      <c r="G336" s="11" t="s">
        <v>8</v>
      </c>
    </row>
    <row r="337" spans="1:7" ht="15" x14ac:dyDescent="0.25">
      <c r="A337" s="12" t="s">
        <v>9</v>
      </c>
      <c r="B337" s="13" t="s">
        <v>88</v>
      </c>
      <c r="D337" s="99" t="s">
        <v>74</v>
      </c>
      <c r="E337" s="100"/>
      <c r="F337" s="101"/>
      <c r="G337" s="13"/>
    </row>
    <row r="338" spans="1:7" ht="15" x14ac:dyDescent="0.25">
      <c r="A338" s="14" t="s">
        <v>11</v>
      </c>
      <c r="B338" s="15"/>
      <c r="D338" s="15" t="s">
        <v>89</v>
      </c>
      <c r="E338" s="15" t="s">
        <v>89</v>
      </c>
      <c r="F338" s="15" t="s">
        <v>90</v>
      </c>
      <c r="G338" s="15"/>
    </row>
    <row r="339" spans="1:7" x14ac:dyDescent="0.25">
      <c r="A339" s="16" t="s">
        <v>16</v>
      </c>
      <c r="B339" s="17">
        <v>79718.181890000007</v>
      </c>
      <c r="D339" s="17">
        <f>79000*100.909091%</f>
        <v>79718.181890000007</v>
      </c>
      <c r="E339" s="17">
        <f>79000*100.909091%</f>
        <v>79718.181890000007</v>
      </c>
      <c r="F339" s="17">
        <f>59000*100.909091%</f>
        <v>59536.363690000006</v>
      </c>
      <c r="G339" s="17"/>
    </row>
    <row r="340" spans="1:7" ht="15" x14ac:dyDescent="0.25">
      <c r="A340" s="18" t="s">
        <v>17</v>
      </c>
      <c r="B340" s="19">
        <v>797181.81890000007</v>
      </c>
      <c r="C340" s="20"/>
      <c r="D340" s="19">
        <f>790000*100.909091%</f>
        <v>797181.81890000007</v>
      </c>
      <c r="E340" s="19">
        <f>790000*100.909091%</f>
        <v>797181.81890000007</v>
      </c>
      <c r="F340" s="19">
        <f>590000*100.909091%</f>
        <v>595363.63690000004</v>
      </c>
      <c r="G340" s="19"/>
    </row>
    <row r="341" spans="1:7" ht="15" x14ac:dyDescent="0.25">
      <c r="A341" s="18" t="s">
        <v>18</v>
      </c>
      <c r="B341" s="19"/>
      <c r="C341" s="20"/>
      <c r="D341" s="19"/>
      <c r="E341" s="19"/>
      <c r="F341" s="19"/>
      <c r="G341" s="19"/>
    </row>
    <row r="342" spans="1:7" s="24" customFormat="1" x14ac:dyDescent="0.25">
      <c r="A342" s="22" t="s">
        <v>19</v>
      </c>
      <c r="B342" s="23"/>
      <c r="D342" s="23" t="s">
        <v>22</v>
      </c>
      <c r="E342" s="23" t="s">
        <v>22</v>
      </c>
      <c r="F342" s="23" t="s">
        <v>77</v>
      </c>
      <c r="G342" s="23"/>
    </row>
    <row r="343" spans="1:7" s="24" customFormat="1" x14ac:dyDescent="0.25">
      <c r="A343" s="22" t="s">
        <v>23</v>
      </c>
      <c r="B343" s="23"/>
      <c r="D343" s="23" t="s">
        <v>22</v>
      </c>
      <c r="E343" s="23" t="s">
        <v>22</v>
      </c>
      <c r="F343" s="23" t="s">
        <v>77</v>
      </c>
      <c r="G343" s="23"/>
    </row>
    <row r="344" spans="1:7" s="24" customFormat="1" x14ac:dyDescent="0.25">
      <c r="A344" s="22" t="s">
        <v>24</v>
      </c>
      <c r="B344" s="23"/>
      <c r="D344" s="23">
        <v>504545</v>
      </c>
      <c r="E344" s="23">
        <v>504545</v>
      </c>
      <c r="F344" s="23" t="s">
        <v>77</v>
      </c>
      <c r="G344" s="23"/>
    </row>
    <row r="345" spans="1:7" x14ac:dyDescent="0.25">
      <c r="A345" s="25" t="s">
        <v>26</v>
      </c>
      <c r="B345" s="26"/>
      <c r="C345" s="6"/>
      <c r="D345" s="26"/>
      <c r="E345" s="26"/>
      <c r="F345" s="26"/>
      <c r="G345" s="26"/>
    </row>
    <row r="346" spans="1:7" x14ac:dyDescent="0.25">
      <c r="A346" s="25" t="s">
        <v>29</v>
      </c>
      <c r="B346" s="26"/>
      <c r="C346" s="6"/>
      <c r="D346" s="26" t="s">
        <v>64</v>
      </c>
      <c r="E346" s="26" t="s">
        <v>71</v>
      </c>
      <c r="F346" s="26" t="s">
        <v>78</v>
      </c>
      <c r="G346" s="26"/>
    </row>
    <row r="347" spans="1:7" ht="15" x14ac:dyDescent="0.25">
      <c r="A347" s="18" t="s">
        <v>31</v>
      </c>
      <c r="B347" s="19">
        <v>79000</v>
      </c>
      <c r="C347" s="20"/>
      <c r="D347" s="19">
        <f>D339</f>
        <v>79718.181890000007</v>
      </c>
      <c r="E347" s="19">
        <f>E339</f>
        <v>79718.181890000007</v>
      </c>
      <c r="F347" s="46">
        <f>F339</f>
        <v>59536.363690000006</v>
      </c>
      <c r="G347" s="19"/>
    </row>
    <row r="348" spans="1:7" s="20" customFormat="1" ht="15" x14ac:dyDescent="0.25">
      <c r="A348" s="18" t="s">
        <v>32</v>
      </c>
      <c r="B348" s="19"/>
      <c r="D348" s="19"/>
      <c r="E348" s="19"/>
      <c r="F348" s="19"/>
      <c r="G348" s="19"/>
    </row>
    <row r="349" spans="1:7" x14ac:dyDescent="0.25">
      <c r="A349" s="22" t="s">
        <v>19</v>
      </c>
      <c r="B349" s="23"/>
      <c r="C349" s="24"/>
      <c r="D349" s="23" t="s">
        <v>33</v>
      </c>
      <c r="E349" s="23" t="s">
        <v>33</v>
      </c>
      <c r="F349" s="23" t="s">
        <v>91</v>
      </c>
      <c r="G349" s="23"/>
    </row>
    <row r="350" spans="1:7" x14ac:dyDescent="0.25">
      <c r="A350" s="22" t="s">
        <v>23</v>
      </c>
      <c r="B350" s="23"/>
      <c r="C350" s="24"/>
      <c r="D350" s="23" t="s">
        <v>33</v>
      </c>
      <c r="E350" s="23" t="s">
        <v>33</v>
      </c>
      <c r="F350" s="23" t="s">
        <v>91</v>
      </c>
      <c r="G350" s="23"/>
    </row>
    <row r="351" spans="1:7" x14ac:dyDescent="0.25">
      <c r="A351" s="22" t="s">
        <v>24</v>
      </c>
      <c r="B351" s="23"/>
      <c r="C351" s="24"/>
      <c r="D351" s="23">
        <v>50454.550500000005</v>
      </c>
      <c r="E351" s="23">
        <v>50454.550500000005</v>
      </c>
      <c r="F351" s="23">
        <v>50454.550500000005</v>
      </c>
      <c r="G351" s="23"/>
    </row>
    <row r="352" spans="1:7" ht="15" x14ac:dyDescent="0.25">
      <c r="A352" s="27" t="s">
        <v>92</v>
      </c>
      <c r="B352" s="28"/>
      <c r="C352" s="20"/>
      <c r="D352" s="28">
        <v>605454.55050000001</v>
      </c>
      <c r="E352" s="28">
        <v>605454.55050000001</v>
      </c>
      <c r="F352" s="28">
        <v>605454.55050000001</v>
      </c>
      <c r="G352" s="28"/>
    </row>
    <row r="353" spans="1:7" ht="15" x14ac:dyDescent="0.25">
      <c r="A353" s="29" t="s">
        <v>36</v>
      </c>
      <c r="B353" s="30"/>
      <c r="D353" s="30"/>
      <c r="E353" s="30"/>
      <c r="F353" s="31"/>
      <c r="G353" s="30"/>
    </row>
    <row r="354" spans="1:7" x14ac:dyDescent="0.25">
      <c r="A354" s="16" t="s">
        <v>37</v>
      </c>
      <c r="B354" s="17">
        <v>40000</v>
      </c>
      <c r="D354" s="17">
        <f>40000*100.909091%</f>
        <v>40363.636400000003</v>
      </c>
      <c r="E354" s="17">
        <f>40000*100.909091%</f>
        <v>40363.636400000003</v>
      </c>
      <c r="F354" s="17">
        <f>59000*100.909091%</f>
        <v>59536.363690000006</v>
      </c>
      <c r="G354" s="17"/>
    </row>
    <row r="355" spans="1:7" ht="15" x14ac:dyDescent="0.25">
      <c r="A355" s="18" t="s">
        <v>38</v>
      </c>
      <c r="B355" s="19">
        <v>400000</v>
      </c>
      <c r="C355" s="20"/>
      <c r="D355" s="19">
        <f>400000*100.909091%</f>
        <v>403636.364</v>
      </c>
      <c r="E355" s="19">
        <f>400000*100.909091%</f>
        <v>403636.364</v>
      </c>
      <c r="F355" s="17">
        <f>590000*100.909091%</f>
        <v>595363.63690000004</v>
      </c>
      <c r="G355" s="19"/>
    </row>
    <row r="356" spans="1:7" ht="15" x14ac:dyDescent="0.25">
      <c r="A356" s="18" t="s">
        <v>39</v>
      </c>
      <c r="B356" s="17"/>
      <c r="D356" s="23" t="s">
        <v>22</v>
      </c>
      <c r="E356" s="23" t="s">
        <v>22</v>
      </c>
      <c r="F356" s="23" t="s">
        <v>22</v>
      </c>
      <c r="G356" s="23"/>
    </row>
    <row r="357" spans="1:7" x14ac:dyDescent="0.25">
      <c r="A357" s="25" t="s">
        <v>40</v>
      </c>
      <c r="B357" s="26"/>
      <c r="C357" s="6"/>
      <c r="D357" s="26"/>
      <c r="E357" s="26"/>
      <c r="F357" s="26"/>
      <c r="G357" s="26"/>
    </row>
    <row r="358" spans="1:7" x14ac:dyDescent="0.25">
      <c r="A358" s="25" t="s">
        <v>41</v>
      </c>
      <c r="B358" s="26"/>
      <c r="C358" s="6"/>
      <c r="D358" s="26"/>
      <c r="E358" s="26"/>
      <c r="F358" s="26"/>
      <c r="G358" s="26"/>
    </row>
    <row r="359" spans="1:7" x14ac:dyDescent="0.25">
      <c r="A359" s="16" t="s">
        <v>31</v>
      </c>
      <c r="B359" s="17">
        <f>B354</f>
        <v>40000</v>
      </c>
      <c r="D359" s="17">
        <f>D354</f>
        <v>40363.636400000003</v>
      </c>
      <c r="E359" s="17">
        <f>E354</f>
        <v>40363.636400000003</v>
      </c>
      <c r="F359" s="17">
        <f>F354</f>
        <v>59536.363690000006</v>
      </c>
      <c r="G359" s="17"/>
    </row>
    <row r="360" spans="1:7" x14ac:dyDescent="0.25">
      <c r="A360" s="16" t="s">
        <v>42</v>
      </c>
      <c r="B360" s="17"/>
      <c r="D360" s="23"/>
      <c r="E360" s="23"/>
      <c r="F360" s="23"/>
      <c r="G360" s="23"/>
    </row>
    <row r="361" spans="1:7" s="24" customFormat="1" x14ac:dyDescent="0.25">
      <c r="A361" s="22" t="s">
        <v>43</v>
      </c>
      <c r="B361" s="23"/>
      <c r="D361" s="23" t="s">
        <v>22</v>
      </c>
      <c r="E361" s="23" t="s">
        <v>22</v>
      </c>
      <c r="F361" s="23" t="s">
        <v>22</v>
      </c>
      <c r="G361" s="23"/>
    </row>
    <row r="362" spans="1:7" s="24" customFormat="1" x14ac:dyDescent="0.25">
      <c r="A362" s="22" t="s">
        <v>44</v>
      </c>
      <c r="B362" s="23"/>
      <c r="D362" s="23" t="s">
        <v>22</v>
      </c>
      <c r="E362" s="23" t="s">
        <v>22</v>
      </c>
      <c r="F362" s="23" t="s">
        <v>22</v>
      </c>
      <c r="G362" s="23"/>
    </row>
    <row r="363" spans="1:7" s="24" customFormat="1" x14ac:dyDescent="0.25">
      <c r="A363" s="22" t="s">
        <v>45</v>
      </c>
      <c r="B363" s="23"/>
      <c r="D363" s="23">
        <v>50454.550500000005</v>
      </c>
      <c r="E363" s="23">
        <v>50454.550500000005</v>
      </c>
      <c r="F363" s="23">
        <v>50454.550500000005</v>
      </c>
      <c r="G363" s="23"/>
    </row>
    <row r="365" spans="1:7" ht="15" x14ac:dyDescent="0.25">
      <c r="B365" s="7" t="s">
        <v>1</v>
      </c>
      <c r="D365" s="96" t="s">
        <v>72</v>
      </c>
      <c r="E365" s="97"/>
      <c r="F365" s="98"/>
    </row>
    <row r="366" spans="1:7" ht="15" x14ac:dyDescent="0.25">
      <c r="A366" s="9" t="s">
        <v>3</v>
      </c>
      <c r="B366" s="45" t="s">
        <v>93</v>
      </c>
      <c r="D366" s="10" t="s">
        <v>5</v>
      </c>
      <c r="E366" s="10" t="s">
        <v>6</v>
      </c>
      <c r="F366" s="10" t="s">
        <v>7</v>
      </c>
    </row>
    <row r="367" spans="1:7" ht="15" x14ac:dyDescent="0.25">
      <c r="A367" s="12" t="s">
        <v>9</v>
      </c>
      <c r="B367" s="13" t="s">
        <v>94</v>
      </c>
      <c r="D367" s="99" t="s">
        <v>59</v>
      </c>
      <c r="E367" s="100"/>
      <c r="F367" s="47"/>
      <c r="G367" s="8"/>
    </row>
    <row r="368" spans="1:7" ht="15" x14ac:dyDescent="0.25">
      <c r="A368" s="14" t="s">
        <v>11</v>
      </c>
      <c r="B368" s="15"/>
      <c r="D368" s="41" t="s">
        <v>70</v>
      </c>
      <c r="E368" s="41" t="s">
        <v>84</v>
      </c>
      <c r="F368" s="15"/>
      <c r="G368" s="11" t="s">
        <v>8</v>
      </c>
    </row>
    <row r="369" spans="1:7" ht="15" x14ac:dyDescent="0.25">
      <c r="A369" s="16" t="s">
        <v>16</v>
      </c>
      <c r="B369" s="17">
        <v>99900</v>
      </c>
      <c r="D369" s="17">
        <f>99000*100.909091%</f>
        <v>99900.000090000001</v>
      </c>
      <c r="E369" s="17">
        <f>99000*100.909091%</f>
        <v>99900.000090000001</v>
      </c>
      <c r="F369" s="17"/>
      <c r="G369" s="13"/>
    </row>
    <row r="370" spans="1:7" ht="15" x14ac:dyDescent="0.25">
      <c r="A370" s="18" t="s">
        <v>17</v>
      </c>
      <c r="B370" s="19">
        <v>1004045.45545</v>
      </c>
      <c r="C370" s="20"/>
      <c r="D370" s="19">
        <f>995000*100.909091%</f>
        <v>1004045.45545</v>
      </c>
      <c r="E370" s="19">
        <f>495000*100.909091%</f>
        <v>499500.00045000005</v>
      </c>
      <c r="F370" s="19"/>
      <c r="G370" s="15"/>
    </row>
    <row r="371" spans="1:7" ht="15" x14ac:dyDescent="0.25">
      <c r="A371" s="18" t="s">
        <v>18</v>
      </c>
      <c r="B371" s="19"/>
      <c r="C371" s="20"/>
      <c r="D371" s="19"/>
      <c r="E371" s="19"/>
      <c r="F371" s="19"/>
      <c r="G371" s="17"/>
    </row>
    <row r="372" spans="1:7" ht="15" x14ac:dyDescent="0.25">
      <c r="A372" s="22" t="s">
        <v>19</v>
      </c>
      <c r="B372" s="23"/>
      <c r="C372" s="24"/>
      <c r="D372" s="23" t="s">
        <v>25</v>
      </c>
      <c r="E372" s="23" t="s">
        <v>25</v>
      </c>
      <c r="F372" s="23"/>
      <c r="G372" s="19"/>
    </row>
    <row r="373" spans="1:7" ht="15" x14ac:dyDescent="0.25">
      <c r="A373" s="22" t="s">
        <v>23</v>
      </c>
      <c r="B373" s="23"/>
      <c r="C373" s="24"/>
      <c r="D373" s="23" t="s">
        <v>25</v>
      </c>
      <c r="E373" s="23" t="s">
        <v>25</v>
      </c>
      <c r="F373" s="23"/>
      <c r="G373" s="19"/>
    </row>
    <row r="374" spans="1:7" s="24" customFormat="1" x14ac:dyDescent="0.25">
      <c r="A374" s="22" t="s">
        <v>24</v>
      </c>
      <c r="B374" s="23"/>
      <c r="D374" s="23" t="s">
        <v>25</v>
      </c>
      <c r="E374" s="23" t="s">
        <v>25</v>
      </c>
      <c r="F374" s="23"/>
      <c r="G374" s="23"/>
    </row>
    <row r="375" spans="1:7" s="24" customFormat="1" x14ac:dyDescent="0.25">
      <c r="A375" s="25" t="s">
        <v>26</v>
      </c>
      <c r="B375" s="26"/>
      <c r="C375" s="6"/>
      <c r="D375" s="26" t="s">
        <v>27</v>
      </c>
      <c r="E375" s="26" t="s">
        <v>27</v>
      </c>
      <c r="F375" s="26"/>
      <c r="G375" s="23"/>
    </row>
    <row r="376" spans="1:7" s="24" customFormat="1" x14ac:dyDescent="0.25">
      <c r="A376" s="25" t="s">
        <v>29</v>
      </c>
      <c r="B376" s="26"/>
      <c r="C376" s="6"/>
      <c r="D376" s="26" t="s">
        <v>64</v>
      </c>
      <c r="E376" s="26" t="s">
        <v>78</v>
      </c>
      <c r="F376" s="26"/>
      <c r="G376" s="23"/>
    </row>
    <row r="377" spans="1:7" ht="15" x14ac:dyDescent="0.25">
      <c r="A377" s="18" t="s">
        <v>31</v>
      </c>
      <c r="B377" s="17">
        <v>99900</v>
      </c>
      <c r="C377" s="20"/>
      <c r="D377" s="19">
        <f>D369</f>
        <v>99900.000090000001</v>
      </c>
      <c r="E377" s="19">
        <f>E369</f>
        <v>99900.000090000001</v>
      </c>
      <c r="F377" s="19"/>
      <c r="G377" s="26"/>
    </row>
    <row r="378" spans="1:7" ht="15" x14ac:dyDescent="0.25">
      <c r="A378" s="18" t="s">
        <v>32</v>
      </c>
      <c r="B378" s="19"/>
      <c r="C378" s="20"/>
      <c r="D378" s="19"/>
      <c r="E378" s="19"/>
      <c r="F378" s="19"/>
      <c r="G378" s="26"/>
    </row>
    <row r="379" spans="1:7" ht="15" x14ac:dyDescent="0.25">
      <c r="A379" s="22" t="s">
        <v>19</v>
      </c>
      <c r="B379" s="23"/>
      <c r="C379" s="24"/>
      <c r="D379" s="23">
        <v>20181.820200000002</v>
      </c>
      <c r="E379" s="23">
        <v>20181.820200000002</v>
      </c>
      <c r="F379" s="23"/>
      <c r="G379" s="19"/>
    </row>
    <row r="380" spans="1:7" s="20" customFormat="1" ht="15" x14ac:dyDescent="0.25">
      <c r="A380" s="22" t="s">
        <v>23</v>
      </c>
      <c r="B380" s="23"/>
      <c r="C380" s="24"/>
      <c r="D380" s="23">
        <v>30272.730300000003</v>
      </c>
      <c r="E380" s="23">
        <v>30272.730300000003</v>
      </c>
      <c r="F380" s="23"/>
      <c r="G380" s="19"/>
    </row>
    <row r="381" spans="1:7" x14ac:dyDescent="0.25">
      <c r="A381" s="22" t="s">
        <v>24</v>
      </c>
      <c r="B381" s="23"/>
      <c r="C381" s="24"/>
      <c r="D381" s="23">
        <v>50454.550500000005</v>
      </c>
      <c r="E381" s="23">
        <v>50454.550500000005</v>
      </c>
      <c r="F381" s="23"/>
      <c r="G381" s="23"/>
    </row>
    <row r="382" spans="1:7" ht="15" x14ac:dyDescent="0.25">
      <c r="A382" s="27" t="s">
        <v>92</v>
      </c>
      <c r="B382" s="28"/>
      <c r="C382" s="20"/>
      <c r="D382" s="28">
        <v>605454.55050000001</v>
      </c>
      <c r="E382" s="28">
        <v>605454.55050000001</v>
      </c>
      <c r="F382" s="28"/>
      <c r="G382" s="23"/>
    </row>
    <row r="383" spans="1:7" ht="15" x14ac:dyDescent="0.25">
      <c r="A383" s="29" t="s">
        <v>36</v>
      </c>
      <c r="B383" s="30"/>
      <c r="D383" s="30"/>
      <c r="E383" s="30"/>
      <c r="F383" s="31"/>
      <c r="G383" s="23"/>
    </row>
    <row r="384" spans="1:7" x14ac:dyDescent="0.25">
      <c r="A384" s="16" t="s">
        <v>37</v>
      </c>
      <c r="B384" s="17">
        <v>40000</v>
      </c>
      <c r="D384" s="17">
        <f>40000*100.909091%</f>
        <v>40363.636400000003</v>
      </c>
      <c r="E384" s="17">
        <f>40000*100.909091%</f>
        <v>40363.636400000003</v>
      </c>
      <c r="F384" s="17"/>
      <c r="G384" s="28"/>
    </row>
    <row r="385" spans="1:7" ht="15" x14ac:dyDescent="0.25">
      <c r="A385" s="18" t="s">
        <v>38</v>
      </c>
      <c r="B385" s="19">
        <v>400000</v>
      </c>
      <c r="C385" s="20"/>
      <c r="D385" s="19">
        <f>400000*100.909091%</f>
        <v>403636.364</v>
      </c>
      <c r="E385" s="19">
        <f>400000*100.909091%</f>
        <v>403636.364</v>
      </c>
      <c r="F385" s="17"/>
      <c r="G385" s="30"/>
    </row>
    <row r="386" spans="1:7" ht="15" x14ac:dyDescent="0.25">
      <c r="A386" s="18" t="s">
        <v>39</v>
      </c>
      <c r="B386" s="17"/>
      <c r="D386" s="23" t="s">
        <v>22</v>
      </c>
      <c r="E386" s="23" t="s">
        <v>22</v>
      </c>
      <c r="F386" s="23"/>
      <c r="G386" s="17"/>
    </row>
    <row r="387" spans="1:7" ht="15" x14ac:dyDescent="0.25">
      <c r="A387" s="25" t="s">
        <v>40</v>
      </c>
      <c r="B387" s="26"/>
      <c r="C387" s="6"/>
      <c r="D387" s="26"/>
      <c r="E387" s="26"/>
      <c r="F387" s="26"/>
      <c r="G387" s="19"/>
    </row>
    <row r="388" spans="1:7" x14ac:dyDescent="0.25">
      <c r="A388" s="25" t="s">
        <v>41</v>
      </c>
      <c r="B388" s="26"/>
      <c r="C388" s="6"/>
      <c r="D388" s="26"/>
      <c r="E388" s="26"/>
      <c r="F388" s="26"/>
      <c r="G388" s="23"/>
    </row>
    <row r="389" spans="1:7" x14ac:dyDescent="0.25">
      <c r="A389" s="16" t="s">
        <v>31</v>
      </c>
      <c r="B389" s="17">
        <f>B384</f>
        <v>40000</v>
      </c>
      <c r="D389" s="17">
        <f>D384</f>
        <v>40363.636400000003</v>
      </c>
      <c r="E389" s="17">
        <f>E384</f>
        <v>40363.636400000003</v>
      </c>
      <c r="F389" s="17"/>
      <c r="G389" s="26"/>
    </row>
    <row r="390" spans="1:7" x14ac:dyDescent="0.25">
      <c r="A390" s="16" t="s">
        <v>42</v>
      </c>
      <c r="B390" s="17"/>
      <c r="D390" s="23"/>
      <c r="E390" s="23"/>
      <c r="F390" s="23"/>
      <c r="G390" s="26"/>
    </row>
    <row r="391" spans="1:7" x14ac:dyDescent="0.25">
      <c r="A391" s="22" t="s">
        <v>43</v>
      </c>
      <c r="B391" s="23"/>
      <c r="C391" s="24"/>
      <c r="D391" s="23" t="s">
        <v>22</v>
      </c>
      <c r="E391" s="23" t="s">
        <v>22</v>
      </c>
      <c r="F391" s="23"/>
      <c r="G391" s="17"/>
    </row>
    <row r="392" spans="1:7" x14ac:dyDescent="0.25">
      <c r="A392" s="22" t="s">
        <v>44</v>
      </c>
      <c r="B392" s="23"/>
      <c r="C392" s="24"/>
      <c r="D392" s="23" t="s">
        <v>22</v>
      </c>
      <c r="E392" s="23" t="s">
        <v>22</v>
      </c>
      <c r="F392" s="23"/>
      <c r="G392" s="23"/>
    </row>
    <row r="393" spans="1:7" s="24" customFormat="1" x14ac:dyDescent="0.25">
      <c r="A393" s="22" t="s">
        <v>45</v>
      </c>
      <c r="B393" s="23"/>
      <c r="D393" s="23">
        <v>50454.550500000005</v>
      </c>
      <c r="E393" s="23">
        <v>50454.550500000005</v>
      </c>
      <c r="F393" s="23"/>
      <c r="G393" s="23"/>
    </row>
    <row r="394" spans="1:7" s="24" customFormat="1" x14ac:dyDescent="0.25">
      <c r="A394" s="1"/>
      <c r="B394" s="2"/>
      <c r="C394" s="1"/>
      <c r="D394" s="2"/>
      <c r="E394" s="2"/>
      <c r="F394" s="2"/>
      <c r="G394" s="23"/>
    </row>
    <row r="395" spans="1:7" ht="15" x14ac:dyDescent="0.25">
      <c r="B395" s="7" t="s">
        <v>1</v>
      </c>
      <c r="D395" s="96" t="s">
        <v>72</v>
      </c>
      <c r="E395" s="97"/>
      <c r="F395" s="98"/>
    </row>
    <row r="396" spans="1:7" ht="15" x14ac:dyDescent="0.25">
      <c r="A396" s="9" t="s">
        <v>3</v>
      </c>
      <c r="B396" s="45" t="s">
        <v>95</v>
      </c>
      <c r="D396" s="10" t="s">
        <v>5</v>
      </c>
      <c r="E396" s="10" t="s">
        <v>6</v>
      </c>
      <c r="F396" s="10" t="s">
        <v>7</v>
      </c>
    </row>
    <row r="397" spans="1:7" ht="15" x14ac:dyDescent="0.25">
      <c r="A397" s="12" t="s">
        <v>9</v>
      </c>
      <c r="B397" s="13"/>
      <c r="D397" s="99" t="s">
        <v>59</v>
      </c>
      <c r="E397" s="101"/>
      <c r="F397" s="48" t="s">
        <v>74</v>
      </c>
    </row>
    <row r="398" spans="1:7" ht="15" x14ac:dyDescent="0.25">
      <c r="A398" s="14" t="s">
        <v>11</v>
      </c>
      <c r="B398" s="15"/>
      <c r="D398" s="15" t="s">
        <v>96</v>
      </c>
      <c r="E398" s="15" t="s">
        <v>81</v>
      </c>
      <c r="F398" s="15" t="s">
        <v>89</v>
      </c>
      <c r="G398" s="8"/>
    </row>
    <row r="399" spans="1:7" ht="15" x14ac:dyDescent="0.25">
      <c r="A399" s="16" t="s">
        <v>16</v>
      </c>
      <c r="B399" s="17">
        <v>130172.72739000001</v>
      </c>
      <c r="D399" s="17">
        <f>129000*100.909091%</f>
        <v>130172.72739000001</v>
      </c>
      <c r="E399" s="17">
        <f>99000*100.909091%</f>
        <v>99900.000090000001</v>
      </c>
      <c r="F399" s="17">
        <f>79000*100.909091%</f>
        <v>79718.181890000007</v>
      </c>
      <c r="G399" s="11" t="s">
        <v>8</v>
      </c>
    </row>
    <row r="400" spans="1:7" ht="15" x14ac:dyDescent="0.25">
      <c r="A400" s="18" t="s">
        <v>17</v>
      </c>
      <c r="B400" s="19">
        <v>1301727.2739000001</v>
      </c>
      <c r="C400" s="20"/>
      <c r="D400" s="19">
        <f>1290000*100.909091%</f>
        <v>1301727.2739000001</v>
      </c>
      <c r="E400" s="19">
        <f>990000*100.909091%</f>
        <v>999000.0009000001</v>
      </c>
      <c r="F400" s="19">
        <f>790000*100.909091%</f>
        <v>797181.81890000007</v>
      </c>
      <c r="G400" s="13"/>
    </row>
    <row r="401" spans="1:7" ht="15" x14ac:dyDescent="0.25">
      <c r="A401" s="18" t="s">
        <v>18</v>
      </c>
      <c r="B401" s="19"/>
      <c r="C401" s="20"/>
      <c r="D401" s="19"/>
      <c r="E401" s="19"/>
      <c r="F401" s="19"/>
      <c r="G401" s="15"/>
    </row>
    <row r="402" spans="1:7" x14ac:dyDescent="0.25">
      <c r="A402" s="22" t="s">
        <v>19</v>
      </c>
      <c r="B402" s="23"/>
      <c r="C402" s="24"/>
      <c r="D402" s="23" t="s">
        <v>22</v>
      </c>
      <c r="E402" s="23">
        <v>201818.17980000001</v>
      </c>
      <c r="F402" s="23" t="s">
        <v>22</v>
      </c>
      <c r="G402" s="17"/>
    </row>
    <row r="403" spans="1:7" ht="15" x14ac:dyDescent="0.25">
      <c r="A403" s="22" t="s">
        <v>23</v>
      </c>
      <c r="B403" s="23"/>
      <c r="C403" s="24"/>
      <c r="D403" s="23" t="s">
        <v>22</v>
      </c>
      <c r="E403" s="23">
        <v>302726.97000000003</v>
      </c>
      <c r="F403" s="23" t="s">
        <v>22</v>
      </c>
      <c r="G403" s="19"/>
    </row>
    <row r="404" spans="1:7" ht="15" x14ac:dyDescent="0.25">
      <c r="A404" s="22" t="s">
        <v>24</v>
      </c>
      <c r="B404" s="23"/>
      <c r="C404" s="24"/>
      <c r="D404" s="23" t="s">
        <v>25</v>
      </c>
      <c r="E404" s="23" t="s">
        <v>22</v>
      </c>
      <c r="F404" s="23" t="s">
        <v>25</v>
      </c>
      <c r="G404" s="19"/>
    </row>
    <row r="405" spans="1:7" s="24" customFormat="1" x14ac:dyDescent="0.25">
      <c r="A405" s="25" t="s">
        <v>26</v>
      </c>
      <c r="B405" s="26"/>
      <c r="C405" s="6"/>
      <c r="D405" s="26"/>
      <c r="E405" s="26"/>
      <c r="F405" s="26"/>
      <c r="G405" s="23"/>
    </row>
    <row r="406" spans="1:7" s="24" customFormat="1" x14ac:dyDescent="0.25">
      <c r="A406" s="25" t="s">
        <v>29</v>
      </c>
      <c r="B406" s="26"/>
      <c r="C406" s="6"/>
      <c r="D406" s="26" t="s">
        <v>53</v>
      </c>
      <c r="E406" s="49" t="s">
        <v>64</v>
      </c>
      <c r="F406" s="49" t="s">
        <v>78</v>
      </c>
      <c r="G406" s="23"/>
    </row>
    <row r="407" spans="1:7" s="24" customFormat="1" ht="15" x14ac:dyDescent="0.25">
      <c r="A407" s="18" t="s">
        <v>31</v>
      </c>
      <c r="B407" s="19">
        <v>129000</v>
      </c>
      <c r="C407" s="20"/>
      <c r="D407" s="19">
        <f>D399</f>
        <v>130172.72739000001</v>
      </c>
      <c r="E407" s="19">
        <f>E399</f>
        <v>99900.000090000001</v>
      </c>
      <c r="F407" s="19">
        <f>F399</f>
        <v>79718.181890000007</v>
      </c>
      <c r="G407" s="23"/>
    </row>
    <row r="408" spans="1:7" ht="15" x14ac:dyDescent="0.25">
      <c r="A408" s="18" t="s">
        <v>32</v>
      </c>
      <c r="B408" s="19"/>
      <c r="C408" s="20"/>
      <c r="D408" s="19"/>
      <c r="E408" s="19"/>
      <c r="F408" s="19"/>
      <c r="G408" s="26"/>
    </row>
    <row r="409" spans="1:7" x14ac:dyDescent="0.25">
      <c r="A409" s="22" t="s">
        <v>19</v>
      </c>
      <c r="B409" s="23"/>
      <c r="C409" s="24"/>
      <c r="D409" s="23" t="s">
        <v>33</v>
      </c>
      <c r="E409" s="23">
        <v>20181.820200000002</v>
      </c>
      <c r="F409" s="23" t="s">
        <v>33</v>
      </c>
      <c r="G409" s="26"/>
    </row>
    <row r="410" spans="1:7" ht="15" x14ac:dyDescent="0.25">
      <c r="A410" s="22" t="s">
        <v>23</v>
      </c>
      <c r="B410" s="23"/>
      <c r="C410" s="24"/>
      <c r="D410" s="23" t="s">
        <v>33</v>
      </c>
      <c r="E410" s="23">
        <v>30272.730300000003</v>
      </c>
      <c r="F410" s="23" t="s">
        <v>33</v>
      </c>
      <c r="G410" s="19"/>
    </row>
    <row r="411" spans="1:7" s="20" customFormat="1" ht="15" x14ac:dyDescent="0.25">
      <c r="A411" s="22" t="s">
        <v>24</v>
      </c>
      <c r="B411" s="23"/>
      <c r="C411" s="24"/>
      <c r="D411" s="23">
        <v>50454.550500000005</v>
      </c>
      <c r="E411" s="23">
        <v>50454.550500000005</v>
      </c>
      <c r="F411" s="23">
        <v>50454.550500000005</v>
      </c>
      <c r="G411" s="19"/>
    </row>
    <row r="412" spans="1:7" ht="15" x14ac:dyDescent="0.25">
      <c r="A412" s="27" t="s">
        <v>92</v>
      </c>
      <c r="B412" s="28"/>
      <c r="C412" s="20"/>
      <c r="D412" s="43">
        <v>302727.19200000004</v>
      </c>
      <c r="E412" s="28">
        <v>302727.19200000004</v>
      </c>
      <c r="F412" s="28">
        <v>605454.55050000001</v>
      </c>
      <c r="G412" s="23"/>
    </row>
    <row r="413" spans="1:7" ht="15" x14ac:dyDescent="0.25">
      <c r="A413" s="29" t="s">
        <v>36</v>
      </c>
      <c r="B413" s="30"/>
      <c r="D413" s="30"/>
      <c r="E413" s="30"/>
      <c r="F413" s="30"/>
      <c r="G413" s="23"/>
    </row>
    <row r="414" spans="1:7" x14ac:dyDescent="0.25">
      <c r="A414" s="16" t="s">
        <v>37</v>
      </c>
      <c r="B414" s="17">
        <v>40000</v>
      </c>
      <c r="D414" s="17">
        <f>40000*100.909091%</f>
        <v>40363.636400000003</v>
      </c>
      <c r="E414" s="17">
        <f>99000*100.909091%</f>
        <v>99900.000090000001</v>
      </c>
      <c r="F414" s="17">
        <f>40000*100.909091%</f>
        <v>40363.636400000003</v>
      </c>
      <c r="G414" s="23"/>
    </row>
    <row r="415" spans="1:7" ht="15" x14ac:dyDescent="0.25">
      <c r="A415" s="18" t="s">
        <v>38</v>
      </c>
      <c r="B415" s="19">
        <v>400000</v>
      </c>
      <c r="C415" s="20"/>
      <c r="D415" s="19">
        <f>400000*100.909091%</f>
        <v>403636.364</v>
      </c>
      <c r="E415" s="19">
        <f>600000*100.909091%</f>
        <v>605454.54600000009</v>
      </c>
      <c r="F415" s="19">
        <f>400000*100.909091%</f>
        <v>403636.364</v>
      </c>
      <c r="G415" s="28"/>
    </row>
    <row r="416" spans="1:7" ht="15" x14ac:dyDescent="0.25">
      <c r="A416" s="18" t="s">
        <v>39</v>
      </c>
      <c r="B416" s="17"/>
      <c r="D416" s="23" t="s">
        <v>22</v>
      </c>
      <c r="E416" s="23" t="s">
        <v>22</v>
      </c>
      <c r="F416" s="23" t="s">
        <v>22</v>
      </c>
      <c r="G416" s="30"/>
    </row>
    <row r="417" spans="1:7" x14ac:dyDescent="0.25">
      <c r="A417" s="25" t="s">
        <v>40</v>
      </c>
      <c r="B417" s="26"/>
      <c r="C417" s="6"/>
      <c r="D417" s="26"/>
      <c r="E417" s="26"/>
      <c r="F417" s="26"/>
      <c r="G417" s="17"/>
    </row>
    <row r="418" spans="1:7" ht="15" x14ac:dyDescent="0.25">
      <c r="A418" s="25" t="s">
        <v>41</v>
      </c>
      <c r="B418" s="26"/>
      <c r="C418" s="6"/>
      <c r="D418" s="26"/>
      <c r="E418" s="26"/>
      <c r="F418" s="26"/>
      <c r="G418" s="19"/>
    </row>
    <row r="419" spans="1:7" x14ac:dyDescent="0.25">
      <c r="A419" s="16" t="s">
        <v>31</v>
      </c>
      <c r="B419" s="17">
        <f>B414</f>
        <v>40000</v>
      </c>
      <c r="D419" s="17">
        <f>D414</f>
        <v>40363.636400000003</v>
      </c>
      <c r="E419" s="17">
        <f>E414</f>
        <v>99900.000090000001</v>
      </c>
      <c r="F419" s="17">
        <f>F414</f>
        <v>40363.636400000003</v>
      </c>
      <c r="G419" s="23"/>
    </row>
    <row r="420" spans="1:7" x14ac:dyDescent="0.25">
      <c r="A420" s="16" t="s">
        <v>42</v>
      </c>
      <c r="B420" s="17"/>
      <c r="D420" s="23"/>
      <c r="E420" s="23"/>
      <c r="F420" s="23"/>
      <c r="G420" s="26"/>
    </row>
    <row r="421" spans="1:7" x14ac:dyDescent="0.25">
      <c r="A421" s="22" t="s">
        <v>43</v>
      </c>
      <c r="B421" s="23"/>
      <c r="C421" s="24"/>
      <c r="D421" s="23" t="s">
        <v>22</v>
      </c>
      <c r="E421" s="23" t="s">
        <v>22</v>
      </c>
      <c r="F421" s="23" t="s">
        <v>22</v>
      </c>
      <c r="G421" s="26"/>
    </row>
    <row r="422" spans="1:7" x14ac:dyDescent="0.25">
      <c r="A422" s="22" t="s">
        <v>44</v>
      </c>
      <c r="B422" s="23"/>
      <c r="C422" s="24"/>
      <c r="D422" s="23" t="s">
        <v>22</v>
      </c>
      <c r="E422" s="23" t="s">
        <v>22</v>
      </c>
      <c r="F422" s="23" t="s">
        <v>22</v>
      </c>
      <c r="G422" s="17"/>
    </row>
    <row r="423" spans="1:7" x14ac:dyDescent="0.25">
      <c r="A423" s="22" t="s">
        <v>45</v>
      </c>
      <c r="B423" s="23"/>
      <c r="C423" s="24"/>
      <c r="D423" s="23">
        <v>50454.550500000005</v>
      </c>
      <c r="E423" s="23">
        <v>50454.550500000005</v>
      </c>
      <c r="F423" s="23">
        <v>50454.550500000005</v>
      </c>
      <c r="G423" s="23"/>
    </row>
    <row r="424" spans="1:7" s="24" customFormat="1" x14ac:dyDescent="0.25">
      <c r="A424" s="1"/>
      <c r="B424" s="2"/>
      <c r="C424" s="1"/>
      <c r="D424" s="2"/>
      <c r="E424" s="2"/>
      <c r="F424" s="2"/>
      <c r="G424" s="23"/>
    </row>
    <row r="425" spans="1:7" ht="15" x14ac:dyDescent="0.25">
      <c r="B425" s="7" t="s">
        <v>1</v>
      </c>
      <c r="D425" s="96" t="s">
        <v>72</v>
      </c>
      <c r="E425" s="97"/>
      <c r="F425" s="98"/>
    </row>
    <row r="426" spans="1:7" ht="15" x14ac:dyDescent="0.25">
      <c r="A426" s="9" t="s">
        <v>3</v>
      </c>
      <c r="B426" s="45" t="s">
        <v>97</v>
      </c>
      <c r="D426" s="10" t="s">
        <v>5</v>
      </c>
      <c r="E426" s="10" t="s">
        <v>6</v>
      </c>
      <c r="F426" s="10" t="s">
        <v>7</v>
      </c>
    </row>
    <row r="427" spans="1:7" ht="15" x14ac:dyDescent="0.25">
      <c r="A427" s="12" t="s">
        <v>9</v>
      </c>
      <c r="B427" s="13"/>
      <c r="D427" s="48" t="s">
        <v>10</v>
      </c>
      <c r="E427" s="48" t="s">
        <v>59</v>
      </c>
      <c r="F427" s="48" t="s">
        <v>74</v>
      </c>
    </row>
    <row r="428" spans="1:7" ht="15" x14ac:dyDescent="0.25">
      <c r="A428" s="14" t="s">
        <v>11</v>
      </c>
      <c r="B428" s="15"/>
      <c r="D428" s="15" t="s">
        <v>98</v>
      </c>
      <c r="E428" s="15" t="s">
        <v>96</v>
      </c>
      <c r="F428" s="15" t="s">
        <v>89</v>
      </c>
    </row>
    <row r="429" spans="1:7" x14ac:dyDescent="0.25">
      <c r="A429" s="16" t="s">
        <v>16</v>
      </c>
      <c r="B429" s="17">
        <v>220990.90929000001</v>
      </c>
      <c r="D429" s="17">
        <f>219000*100.909091%</f>
        <v>220990.90929000001</v>
      </c>
      <c r="E429" s="17">
        <f>129000*100.909091%</f>
        <v>130172.72739000001</v>
      </c>
      <c r="F429" s="17">
        <f>79000*100.909091%</f>
        <v>79718.181890000007</v>
      </c>
    </row>
    <row r="430" spans="1:7" ht="15" x14ac:dyDescent="0.25">
      <c r="A430" s="18" t="s">
        <v>17</v>
      </c>
      <c r="B430" s="19">
        <v>2209909.0929</v>
      </c>
      <c r="C430" s="20"/>
      <c r="D430" s="19">
        <f>2190000*100.909091%</f>
        <v>2209909.0929</v>
      </c>
      <c r="E430" s="19">
        <f>1290000*100.909091%</f>
        <v>1301727.2739000001</v>
      </c>
      <c r="F430" s="19">
        <f>790000*100.909091%</f>
        <v>797181.81890000007</v>
      </c>
    </row>
    <row r="431" spans="1:7" ht="15" x14ac:dyDescent="0.25">
      <c r="A431" s="18" t="s">
        <v>18</v>
      </c>
      <c r="B431" s="19"/>
      <c r="C431" s="20"/>
      <c r="D431" s="19"/>
      <c r="E431" s="19"/>
      <c r="F431" s="19"/>
    </row>
    <row r="432" spans="1:7" x14ac:dyDescent="0.25">
      <c r="A432" s="22" t="s">
        <v>19</v>
      </c>
      <c r="B432" s="23"/>
      <c r="C432" s="24"/>
      <c r="D432" s="23" t="s">
        <v>22</v>
      </c>
      <c r="E432" s="23" t="s">
        <v>22</v>
      </c>
      <c r="F432" s="23" t="s">
        <v>22</v>
      </c>
    </row>
    <row r="433" spans="1:6" x14ac:dyDescent="0.25">
      <c r="A433" s="22" t="s">
        <v>23</v>
      </c>
      <c r="B433" s="23"/>
      <c r="C433" s="24"/>
      <c r="D433" s="23" t="s">
        <v>22</v>
      </c>
      <c r="E433" s="23" t="s">
        <v>22</v>
      </c>
      <c r="F433" s="23" t="s">
        <v>22</v>
      </c>
    </row>
    <row r="434" spans="1:6" x14ac:dyDescent="0.25">
      <c r="A434" s="22" t="s">
        <v>24</v>
      </c>
      <c r="B434" s="23"/>
      <c r="C434" s="24"/>
      <c r="D434" s="23" t="s">
        <v>25</v>
      </c>
      <c r="E434" s="23" t="s">
        <v>25</v>
      </c>
      <c r="F434" s="23" t="s">
        <v>25</v>
      </c>
    </row>
    <row r="435" spans="1:6" x14ac:dyDescent="0.25">
      <c r="A435" s="25" t="s">
        <v>26</v>
      </c>
      <c r="B435" s="26"/>
      <c r="C435" s="6"/>
      <c r="D435" s="26"/>
      <c r="E435" s="26"/>
      <c r="F435" s="26"/>
    </row>
    <row r="436" spans="1:6" x14ac:dyDescent="0.25">
      <c r="A436" s="25" t="s">
        <v>29</v>
      </c>
      <c r="B436" s="26"/>
      <c r="C436" s="6"/>
      <c r="D436" s="26"/>
      <c r="E436" s="26" t="s">
        <v>53</v>
      </c>
      <c r="F436" s="26" t="s">
        <v>64</v>
      </c>
    </row>
    <row r="437" spans="1:6" ht="15" x14ac:dyDescent="0.25">
      <c r="A437" s="18" t="s">
        <v>31</v>
      </c>
      <c r="B437" s="19">
        <v>219000</v>
      </c>
      <c r="C437" s="20"/>
      <c r="D437" s="19">
        <f>D429</f>
        <v>220990.90929000001</v>
      </c>
      <c r="E437" s="19">
        <f>E429</f>
        <v>130172.72739000001</v>
      </c>
      <c r="F437" s="19">
        <f>F429</f>
        <v>79718.181890000007</v>
      </c>
    </row>
    <row r="438" spans="1:6" ht="15" x14ac:dyDescent="0.25">
      <c r="A438" s="18" t="s">
        <v>32</v>
      </c>
      <c r="B438" s="19"/>
      <c r="C438" s="20"/>
      <c r="D438" s="19"/>
      <c r="E438" s="19"/>
      <c r="F438" s="19"/>
    </row>
    <row r="439" spans="1:6" x14ac:dyDescent="0.25">
      <c r="A439" s="22" t="s">
        <v>19</v>
      </c>
      <c r="B439" s="23"/>
      <c r="C439" s="24"/>
      <c r="D439" s="23" t="s">
        <v>33</v>
      </c>
      <c r="E439" s="23" t="s">
        <v>33</v>
      </c>
      <c r="F439" s="23" t="s">
        <v>33</v>
      </c>
    </row>
    <row r="440" spans="1:6" x14ac:dyDescent="0.25">
      <c r="A440" s="22" t="s">
        <v>23</v>
      </c>
      <c r="B440" s="23"/>
      <c r="C440" s="24"/>
      <c r="D440" s="23" t="s">
        <v>33</v>
      </c>
      <c r="E440" s="23" t="s">
        <v>33</v>
      </c>
      <c r="F440" s="23" t="s">
        <v>33</v>
      </c>
    </row>
    <row r="441" spans="1:6" x14ac:dyDescent="0.25">
      <c r="A441" s="22" t="s">
        <v>24</v>
      </c>
      <c r="B441" s="23"/>
      <c r="C441" s="24"/>
      <c r="D441" s="23">
        <v>50454.550500000005</v>
      </c>
      <c r="E441" s="23">
        <v>50454.550500000005</v>
      </c>
      <c r="F441" s="23">
        <v>50454.550500000005</v>
      </c>
    </row>
    <row r="442" spans="1:6" ht="15" x14ac:dyDescent="0.25">
      <c r="A442" s="27" t="s">
        <v>92</v>
      </c>
      <c r="B442" s="28"/>
      <c r="C442" s="20"/>
      <c r="D442" s="28"/>
      <c r="E442" s="28"/>
      <c r="F442" s="28">
        <v>605454.55050000001</v>
      </c>
    </row>
    <row r="443" spans="1:6" ht="15" x14ac:dyDescent="0.25">
      <c r="A443" s="29" t="s">
        <v>36</v>
      </c>
      <c r="B443" s="30"/>
      <c r="D443" s="30"/>
      <c r="E443" s="30"/>
      <c r="F443" s="30"/>
    </row>
    <row r="444" spans="1:6" x14ac:dyDescent="0.25">
      <c r="A444" s="16" t="s">
        <v>37</v>
      </c>
      <c r="B444" s="17">
        <v>40000</v>
      </c>
      <c r="D444" s="17">
        <f>40000*100.909091%</f>
        <v>40363.636400000003</v>
      </c>
      <c r="E444" s="17">
        <f>40000*100.909091%</f>
        <v>40363.636400000003</v>
      </c>
      <c r="F444" s="17">
        <f>40000*100.909091%</f>
        <v>40363.636400000003</v>
      </c>
    </row>
    <row r="445" spans="1:6" ht="15" x14ac:dyDescent="0.25">
      <c r="A445" s="18" t="s">
        <v>38</v>
      </c>
      <c r="B445" s="19">
        <v>400000</v>
      </c>
      <c r="C445" s="20"/>
      <c r="D445" s="19">
        <f>400000*100.909091%</f>
        <v>403636.364</v>
      </c>
      <c r="E445" s="19">
        <f>400000*100.909091%</f>
        <v>403636.364</v>
      </c>
      <c r="F445" s="19">
        <f>400000*100.909091%</f>
        <v>403636.364</v>
      </c>
    </row>
    <row r="446" spans="1:6" ht="15" x14ac:dyDescent="0.25">
      <c r="A446" s="18" t="s">
        <v>39</v>
      </c>
      <c r="B446" s="17"/>
      <c r="D446" s="23" t="s">
        <v>22</v>
      </c>
      <c r="E446" s="23" t="s">
        <v>22</v>
      </c>
      <c r="F446" s="23" t="s">
        <v>22</v>
      </c>
    </row>
    <row r="447" spans="1:6" x14ac:dyDescent="0.25">
      <c r="A447" s="25" t="s">
        <v>40</v>
      </c>
      <c r="B447" s="26"/>
      <c r="C447" s="6"/>
      <c r="D447" s="26"/>
      <c r="E447" s="26"/>
      <c r="F447" s="26"/>
    </row>
    <row r="448" spans="1:6" x14ac:dyDescent="0.25">
      <c r="A448" s="25" t="s">
        <v>41</v>
      </c>
      <c r="B448" s="26"/>
      <c r="C448" s="6"/>
      <c r="D448" s="26"/>
      <c r="E448" s="26"/>
      <c r="F448" s="26"/>
    </row>
    <row r="449" spans="1:6" x14ac:dyDescent="0.25">
      <c r="A449" s="16" t="s">
        <v>31</v>
      </c>
      <c r="B449" s="17">
        <f>B444</f>
        <v>40000</v>
      </c>
      <c r="D449" s="17">
        <f>D444</f>
        <v>40363.636400000003</v>
      </c>
      <c r="E449" s="17">
        <f>E444</f>
        <v>40363.636400000003</v>
      </c>
      <c r="F449" s="17">
        <f>F444</f>
        <v>40363.636400000003</v>
      </c>
    </row>
    <row r="450" spans="1:6" x14ac:dyDescent="0.25">
      <c r="A450" s="16" t="s">
        <v>42</v>
      </c>
      <c r="B450" s="17"/>
      <c r="D450" s="23"/>
      <c r="E450" s="23"/>
      <c r="F450" s="23"/>
    </row>
    <row r="451" spans="1:6" x14ac:dyDescent="0.25">
      <c r="A451" s="22" t="s">
        <v>43</v>
      </c>
      <c r="B451" s="23"/>
      <c r="C451" s="24"/>
      <c r="D451" s="23" t="s">
        <v>22</v>
      </c>
      <c r="E451" s="23" t="s">
        <v>22</v>
      </c>
      <c r="F451" s="23" t="s">
        <v>22</v>
      </c>
    </row>
    <row r="452" spans="1:6" x14ac:dyDescent="0.25">
      <c r="A452" s="22" t="s">
        <v>44</v>
      </c>
      <c r="B452" s="23"/>
      <c r="C452" s="24"/>
      <c r="D452" s="23" t="s">
        <v>22</v>
      </c>
      <c r="E452" s="23" t="s">
        <v>22</v>
      </c>
      <c r="F452" s="23" t="s">
        <v>22</v>
      </c>
    </row>
    <row r="453" spans="1:6" x14ac:dyDescent="0.25">
      <c r="A453" s="22" t="s">
        <v>45</v>
      </c>
      <c r="B453" s="23"/>
      <c r="C453" s="24"/>
      <c r="D453" s="23">
        <v>50454.550500000005</v>
      </c>
      <c r="E453" s="23">
        <v>50454.550500000005</v>
      </c>
      <c r="F453" s="23">
        <v>50454.550500000005</v>
      </c>
    </row>
  </sheetData>
  <sheetProtection algorithmName="SHA-512" hashValue="oihYC8xhqvABgRxvvMC4Qaw4GDQ8yO03twk/9tldPGLSw7KxDmyZVAGqYMh7E/S7NBrRv956Yda9iELunRZMmA==" saltValue="4hkfppHcbRjCHjunQaHtCA==" spinCount="100000" sheet="1" objects="1" scenarios="1"/>
  <mergeCells count="31">
    <mergeCell ref="D65:F65"/>
    <mergeCell ref="D5:F5"/>
    <mergeCell ref="D7:F7"/>
    <mergeCell ref="F15:F16"/>
    <mergeCell ref="D35:F35"/>
    <mergeCell ref="D37:F37"/>
    <mergeCell ref="D67:F67"/>
    <mergeCell ref="D95:F95"/>
    <mergeCell ref="D97:F97"/>
    <mergeCell ref="D125:F125"/>
    <mergeCell ref="B126:B127"/>
    <mergeCell ref="D127:E127"/>
    <mergeCell ref="D307:F307"/>
    <mergeCell ref="D155:F155"/>
    <mergeCell ref="D157:F157"/>
    <mergeCell ref="D185:F185"/>
    <mergeCell ref="D187:F187"/>
    <mergeCell ref="D215:F215"/>
    <mergeCell ref="D217:E217"/>
    <mergeCell ref="D245:F245"/>
    <mergeCell ref="D247:E247"/>
    <mergeCell ref="D275:F275"/>
    <mergeCell ref="D277:F277"/>
    <mergeCell ref="D305:F305"/>
    <mergeCell ref="D425:F425"/>
    <mergeCell ref="D335:F335"/>
    <mergeCell ref="D337:F337"/>
    <mergeCell ref="D365:F365"/>
    <mergeCell ref="D367:E367"/>
    <mergeCell ref="D395:F395"/>
    <mergeCell ref="D397:E39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3"/>
  <sheetViews>
    <sheetView showGridLines="0" zoomScale="80" zoomScaleNormal="80" workbookViewId="0">
      <selection activeCell="D5" sqref="D5:F5"/>
    </sheetView>
  </sheetViews>
  <sheetFormatPr defaultColWidth="9.140625" defaultRowHeight="17.100000000000001" customHeight="1" x14ac:dyDescent="0.25"/>
  <cols>
    <col min="1" max="1" width="47.7109375" style="1" customWidth="1"/>
    <col min="2" max="2" width="34.85546875" style="2" bestFit="1" customWidth="1"/>
    <col min="3" max="3" width="1.42578125" style="1" customWidth="1"/>
    <col min="4" max="4" width="35.85546875" style="2" bestFit="1" customWidth="1"/>
    <col min="5" max="5" width="35" style="2" bestFit="1" customWidth="1"/>
    <col min="6" max="6" width="34.42578125" style="2" customWidth="1"/>
    <col min="7" max="7" width="37" style="2" hidden="1" customWidth="1"/>
    <col min="8" max="9" width="2.42578125" style="1" customWidth="1"/>
    <col min="10" max="10" width="6.7109375" style="1" customWidth="1"/>
    <col min="11" max="11" width="7.140625" style="1" customWidth="1"/>
    <col min="12" max="12" width="10.7109375" style="1" bestFit="1" customWidth="1"/>
    <col min="13" max="18" width="9.140625" style="1"/>
    <col min="19" max="19" width="10.7109375" style="1" bestFit="1" customWidth="1"/>
    <col min="20" max="16384" width="9.140625" style="1"/>
  </cols>
  <sheetData>
    <row r="1" spans="1:7" ht="14.25" x14ac:dyDescent="0.25"/>
    <row r="2" spans="1:7" ht="20.25" x14ac:dyDescent="0.25">
      <c r="A2" s="4" t="s">
        <v>99</v>
      </c>
      <c r="B2" s="5"/>
      <c r="C2" s="4"/>
      <c r="D2" s="5"/>
      <c r="E2" s="5"/>
      <c r="G2" s="5"/>
    </row>
    <row r="3" spans="1:7" ht="14.25" x14ac:dyDescent="0.25">
      <c r="A3" s="6"/>
    </row>
    <row r="4" spans="1:7" ht="14.25" x14ac:dyDescent="0.25"/>
    <row r="5" spans="1:7" ht="15" x14ac:dyDescent="0.25">
      <c r="B5" s="7" t="s">
        <v>1</v>
      </c>
      <c r="D5" s="96" t="s">
        <v>2</v>
      </c>
      <c r="E5" s="97"/>
      <c r="F5" s="98"/>
      <c r="G5" s="50"/>
    </row>
    <row r="6" spans="1:7" ht="15" x14ac:dyDescent="0.25">
      <c r="A6" s="9" t="s">
        <v>3</v>
      </c>
      <c r="B6" s="10" t="s">
        <v>100</v>
      </c>
      <c r="D6" s="10" t="s">
        <v>5</v>
      </c>
      <c r="E6" s="10" t="s">
        <v>6</v>
      </c>
      <c r="F6" s="10" t="s">
        <v>7</v>
      </c>
      <c r="G6" s="11" t="s">
        <v>101</v>
      </c>
    </row>
    <row r="7" spans="1:7" ht="15" x14ac:dyDescent="0.25">
      <c r="A7" s="12" t="s">
        <v>9</v>
      </c>
      <c r="B7" s="13"/>
      <c r="D7" s="99" t="s">
        <v>10</v>
      </c>
      <c r="E7" s="100"/>
      <c r="F7" s="37" t="s">
        <v>59</v>
      </c>
      <c r="G7" s="13"/>
    </row>
    <row r="8" spans="1:7" ht="15" x14ac:dyDescent="0.25">
      <c r="A8" s="14" t="s">
        <v>11</v>
      </c>
      <c r="B8" s="15"/>
      <c r="D8" s="15" t="s">
        <v>102</v>
      </c>
      <c r="E8" s="15" t="s">
        <v>48</v>
      </c>
      <c r="F8" s="15" t="s">
        <v>103</v>
      </c>
      <c r="G8" s="15" t="s">
        <v>48</v>
      </c>
    </row>
    <row r="9" spans="1:7" ht="14.25" x14ac:dyDescent="0.25">
      <c r="A9" s="16" t="s">
        <v>16</v>
      </c>
      <c r="B9" s="17">
        <v>402627.27309000003</v>
      </c>
      <c r="D9" s="17">
        <v>402627.27309000003</v>
      </c>
      <c r="E9" s="17">
        <f>299000</f>
        <v>299000</v>
      </c>
      <c r="F9" s="17">
        <f>199000</f>
        <v>199000</v>
      </c>
      <c r="G9" s="17">
        <f>299000*100.909091%</f>
        <v>301718.18209000002</v>
      </c>
    </row>
    <row r="10" spans="1:7" s="20" customFormat="1" ht="15" x14ac:dyDescent="0.25">
      <c r="A10" s="18" t="s">
        <v>17</v>
      </c>
      <c r="B10" s="19">
        <v>1816363.638</v>
      </c>
      <c r="D10" s="19">
        <f>1800000*100.909091%</f>
        <v>1816363.638</v>
      </c>
      <c r="E10" s="19">
        <f>(E9*5)*100.909091%</f>
        <v>1508590.9104500001</v>
      </c>
      <c r="F10" s="19">
        <f>995000*100.909091%</f>
        <v>1004045.45545</v>
      </c>
      <c r="G10" s="19">
        <f>1495000*100.909091%</f>
        <v>1508590.9104500001</v>
      </c>
    </row>
    <row r="11" spans="1:7" ht="15" x14ac:dyDescent="0.25">
      <c r="A11" s="18" t="s">
        <v>18</v>
      </c>
      <c r="B11" s="19"/>
      <c r="C11" s="20"/>
      <c r="D11" s="21"/>
      <c r="E11" s="19"/>
      <c r="F11" s="19"/>
      <c r="G11" s="19"/>
    </row>
    <row r="12" spans="1:7" s="24" customFormat="1" ht="14.25" x14ac:dyDescent="0.25">
      <c r="A12" s="22" t="s">
        <v>19</v>
      </c>
      <c r="B12" s="23"/>
      <c r="D12" s="23" t="s">
        <v>20</v>
      </c>
      <c r="E12" s="23" t="s">
        <v>51</v>
      </c>
      <c r="F12" s="23" t="s">
        <v>21</v>
      </c>
      <c r="G12" s="23" t="s">
        <v>51</v>
      </c>
    </row>
    <row r="13" spans="1:7" s="24" customFormat="1" ht="14.25" x14ac:dyDescent="0.25">
      <c r="A13" s="22" t="s">
        <v>23</v>
      </c>
      <c r="B13" s="23"/>
      <c r="D13" s="23" t="s">
        <v>20</v>
      </c>
      <c r="E13" s="23" t="s">
        <v>51</v>
      </c>
      <c r="F13" s="23" t="s">
        <v>21</v>
      </c>
      <c r="G13" s="23" t="s">
        <v>51</v>
      </c>
    </row>
    <row r="14" spans="1:7" s="24" customFormat="1" ht="14.25" x14ac:dyDescent="0.25">
      <c r="A14" s="22" t="s">
        <v>24</v>
      </c>
      <c r="B14" s="23"/>
      <c r="D14" s="23" t="s">
        <v>20</v>
      </c>
      <c r="E14" s="23">
        <v>181636.3596</v>
      </c>
      <c r="F14" s="23">
        <v>181636.3596</v>
      </c>
      <c r="G14" s="23">
        <v>181636.3596</v>
      </c>
    </row>
    <row r="15" spans="1:7" s="6" customFormat="1" ht="14.25" x14ac:dyDescent="0.25">
      <c r="A15" s="25" t="s">
        <v>26</v>
      </c>
      <c r="B15" s="26" t="s">
        <v>52</v>
      </c>
      <c r="D15" s="26"/>
      <c r="E15" s="26" t="s">
        <v>52</v>
      </c>
      <c r="F15" s="26" t="s">
        <v>52</v>
      </c>
      <c r="G15" s="26" t="s">
        <v>52</v>
      </c>
    </row>
    <row r="16" spans="1:7" s="6" customFormat="1" ht="14.25" x14ac:dyDescent="0.25">
      <c r="A16" s="25" t="s">
        <v>29</v>
      </c>
      <c r="B16" s="26"/>
      <c r="D16" s="26"/>
      <c r="E16" s="33" t="s">
        <v>57</v>
      </c>
      <c r="F16" s="26"/>
      <c r="G16" s="51" t="s">
        <v>104</v>
      </c>
    </row>
    <row r="17" spans="1:19" s="20" customFormat="1" ht="17.100000000000001" customHeight="1" x14ac:dyDescent="0.25">
      <c r="A17" s="18" t="s">
        <v>105</v>
      </c>
      <c r="B17" s="19">
        <f>B9</f>
        <v>402627.27309000003</v>
      </c>
      <c r="D17" s="19">
        <f>D9</f>
        <v>402627.27309000003</v>
      </c>
      <c r="E17" s="19">
        <f>E9</f>
        <v>299000</v>
      </c>
      <c r="F17" s="19">
        <f>F9</f>
        <v>199000</v>
      </c>
      <c r="G17" s="19">
        <f>G9</f>
        <v>301718.18209000002</v>
      </c>
    </row>
    <row r="18" spans="1:19" s="20" customFormat="1" ht="17.100000000000001" customHeight="1" x14ac:dyDescent="0.25">
      <c r="A18" s="18" t="s">
        <v>32</v>
      </c>
      <c r="B18" s="19"/>
      <c r="D18" s="19"/>
      <c r="E18" s="19"/>
      <c r="F18" s="19"/>
      <c r="G18" s="19"/>
    </row>
    <row r="19" spans="1:19" s="24" customFormat="1" ht="17.100000000000001" customHeight="1" x14ac:dyDescent="0.25">
      <c r="A19" s="22" t="s">
        <v>19</v>
      </c>
      <c r="B19" s="23"/>
      <c r="D19" s="23" t="s">
        <v>20</v>
      </c>
      <c r="E19" s="23">
        <v>20181.820200000002</v>
      </c>
      <c r="F19" s="23">
        <v>20181.820200000002</v>
      </c>
      <c r="G19" s="23">
        <v>20181.820200000002</v>
      </c>
    </row>
    <row r="20" spans="1:19" s="24" customFormat="1" ht="17.100000000000001" customHeight="1" x14ac:dyDescent="0.25">
      <c r="A20" s="22" t="s">
        <v>23</v>
      </c>
      <c r="B20" s="23"/>
      <c r="D20" s="23" t="s">
        <v>20</v>
      </c>
      <c r="E20" s="23">
        <v>30272.730300000003</v>
      </c>
      <c r="F20" s="23">
        <v>30272.730300000003</v>
      </c>
      <c r="G20" s="23">
        <v>30272.730300000003</v>
      </c>
    </row>
    <row r="21" spans="1:19" s="24" customFormat="1" ht="17.100000000000001" customHeight="1" x14ac:dyDescent="0.25">
      <c r="A21" s="22" t="s">
        <v>24</v>
      </c>
      <c r="B21" s="23"/>
      <c r="D21" s="23">
        <v>50454.550500000005</v>
      </c>
      <c r="E21" s="23">
        <v>50454.550500000005</v>
      </c>
      <c r="F21" s="23">
        <v>50454.550500000005</v>
      </c>
      <c r="G21" s="23">
        <v>50454.550500000005</v>
      </c>
    </row>
    <row r="22" spans="1:19" ht="17.100000000000001" customHeight="1" x14ac:dyDescent="0.25">
      <c r="A22" s="27" t="s">
        <v>34</v>
      </c>
      <c r="B22" s="28"/>
      <c r="C22" s="20"/>
      <c r="D22" s="28" t="s">
        <v>35</v>
      </c>
      <c r="E22" s="28">
        <v>302727.19200000004</v>
      </c>
      <c r="F22" s="28">
        <v>605454.55050000001</v>
      </c>
      <c r="G22" s="28">
        <v>302727.19200000004</v>
      </c>
    </row>
    <row r="23" spans="1:19" ht="17.100000000000001" customHeight="1" x14ac:dyDescent="0.25">
      <c r="A23" s="29" t="s">
        <v>36</v>
      </c>
      <c r="B23" s="30"/>
      <c r="D23" s="30"/>
      <c r="E23" s="30"/>
      <c r="F23" s="31"/>
      <c r="G23" s="30"/>
    </row>
    <row r="24" spans="1:19" ht="16.5" customHeight="1" x14ac:dyDescent="0.25">
      <c r="A24" s="16" t="s">
        <v>37</v>
      </c>
      <c r="B24" s="17">
        <v>199500</v>
      </c>
      <c r="D24" s="17">
        <f>99000*100.909091%</f>
        <v>99900.000090000001</v>
      </c>
      <c r="E24" s="17">
        <f>99000*100.909091%</f>
        <v>99900.000090000001</v>
      </c>
      <c r="F24" s="17">
        <f>99000*100.909091%</f>
        <v>99900.000090000001</v>
      </c>
      <c r="G24" s="17">
        <f>99000*100.909091%</f>
        <v>99900.000090000001</v>
      </c>
    </row>
    <row r="25" spans="1:19" ht="17.100000000000001" customHeight="1" x14ac:dyDescent="0.25">
      <c r="A25" s="18" t="s">
        <v>38</v>
      </c>
      <c r="B25" s="19">
        <v>600000</v>
      </c>
      <c r="C25" s="20"/>
      <c r="D25" s="19">
        <f>300000*100.909091%</f>
        <v>302727.27300000004</v>
      </c>
      <c r="E25" s="19">
        <f>300000*100.909091%</f>
        <v>302727.27300000004</v>
      </c>
      <c r="F25" s="19">
        <f>300000*100.909091%</f>
        <v>302727.27300000004</v>
      </c>
      <c r="G25" s="19">
        <f>300000*100.909091%</f>
        <v>302727.27300000004</v>
      </c>
    </row>
    <row r="26" spans="1:19" ht="17.100000000000001" customHeight="1" x14ac:dyDescent="0.25">
      <c r="A26" s="18" t="s">
        <v>39</v>
      </c>
      <c r="B26" s="17"/>
      <c r="D26" s="23" t="s">
        <v>22</v>
      </c>
      <c r="E26" s="23" t="s">
        <v>22</v>
      </c>
      <c r="F26" s="23" t="s">
        <v>22</v>
      </c>
      <c r="G26" s="17" t="s">
        <v>22</v>
      </c>
    </row>
    <row r="27" spans="1:19" s="6" customFormat="1" ht="17.100000000000001" customHeight="1" x14ac:dyDescent="0.25">
      <c r="A27" s="25" t="s">
        <v>40</v>
      </c>
      <c r="B27" s="26"/>
      <c r="D27" s="26"/>
      <c r="E27" s="26"/>
      <c r="F27" s="26"/>
      <c r="G27" s="26"/>
    </row>
    <row r="28" spans="1:19" s="6" customFormat="1" ht="17.100000000000001" customHeight="1" x14ac:dyDescent="0.25">
      <c r="A28" s="25" t="s">
        <v>41</v>
      </c>
      <c r="B28" s="26"/>
      <c r="D28" s="26"/>
      <c r="E28" s="26"/>
      <c r="F28" s="26"/>
      <c r="G28" s="26"/>
    </row>
    <row r="29" spans="1:19" ht="17.100000000000001" customHeight="1" x14ac:dyDescent="0.25">
      <c r="A29" s="16" t="s">
        <v>31</v>
      </c>
      <c r="B29" s="17">
        <f>B24</f>
        <v>199500</v>
      </c>
      <c r="D29" s="17">
        <f>D24</f>
        <v>99900.000090000001</v>
      </c>
      <c r="E29" s="17">
        <f>E24</f>
        <v>99900.000090000001</v>
      </c>
      <c r="F29" s="17">
        <f>F24</f>
        <v>99900.000090000001</v>
      </c>
      <c r="G29" s="17">
        <f>G24</f>
        <v>99900.000090000001</v>
      </c>
      <c r="S29" s="40"/>
    </row>
    <row r="30" spans="1:19" ht="17.100000000000001" customHeight="1" x14ac:dyDescent="0.25">
      <c r="A30" s="16" t="s">
        <v>42</v>
      </c>
      <c r="B30" s="17"/>
      <c r="D30" s="23"/>
      <c r="E30" s="23"/>
      <c r="F30" s="23"/>
      <c r="G30" s="17"/>
    </row>
    <row r="31" spans="1:19" s="24" customFormat="1" ht="17.100000000000001" customHeight="1" x14ac:dyDescent="0.25">
      <c r="A31" s="22" t="s">
        <v>43</v>
      </c>
      <c r="B31" s="23"/>
      <c r="D31" s="23" t="s">
        <v>20</v>
      </c>
      <c r="E31" s="23" t="s">
        <v>20</v>
      </c>
      <c r="F31" s="23" t="s">
        <v>20</v>
      </c>
      <c r="G31" s="23" t="s">
        <v>20</v>
      </c>
    </row>
    <row r="32" spans="1:19" s="24" customFormat="1" ht="17.100000000000001" customHeight="1" x14ac:dyDescent="0.25">
      <c r="A32" s="22" t="s">
        <v>44</v>
      </c>
      <c r="B32" s="23"/>
      <c r="D32" s="23" t="s">
        <v>20</v>
      </c>
      <c r="E32" s="23" t="s">
        <v>20</v>
      </c>
      <c r="F32" s="23" t="s">
        <v>20</v>
      </c>
      <c r="G32" s="23" t="s">
        <v>20</v>
      </c>
    </row>
    <row r="33" spans="1:19" s="24" customFormat="1" ht="17.100000000000001" customHeight="1" x14ac:dyDescent="0.25">
      <c r="A33" s="22" t="s">
        <v>45</v>
      </c>
      <c r="B33" s="23"/>
      <c r="D33" s="23">
        <v>50454.550500000005</v>
      </c>
      <c r="E33" s="23">
        <v>50454.550500000005</v>
      </c>
      <c r="F33" s="23">
        <v>50454.550500000005</v>
      </c>
      <c r="G33" s="23">
        <v>50454.550500000005</v>
      </c>
    </row>
    <row r="34" spans="1:19" ht="17.100000000000001" customHeight="1" x14ac:dyDescent="0.25">
      <c r="S34" s="40"/>
    </row>
    <row r="35" spans="1:19" ht="17.100000000000001" customHeight="1" x14ac:dyDescent="0.25">
      <c r="B35" s="7" t="s">
        <v>1</v>
      </c>
      <c r="D35" s="96" t="s">
        <v>2</v>
      </c>
      <c r="E35" s="97"/>
      <c r="F35" s="98"/>
      <c r="G35" s="50" t="s">
        <v>72</v>
      </c>
      <c r="L35" s="1" t="s">
        <v>106</v>
      </c>
    </row>
    <row r="36" spans="1:19" ht="17.100000000000001" customHeight="1" x14ac:dyDescent="0.25">
      <c r="A36" s="9" t="s">
        <v>3</v>
      </c>
      <c r="B36" s="10" t="s">
        <v>107</v>
      </c>
      <c r="D36" s="10" t="s">
        <v>5</v>
      </c>
      <c r="E36" s="10" t="s">
        <v>6</v>
      </c>
      <c r="F36" s="10" t="s">
        <v>7</v>
      </c>
      <c r="G36" s="11" t="s">
        <v>101</v>
      </c>
    </row>
    <row r="37" spans="1:19" ht="17.100000000000001" customHeight="1" x14ac:dyDescent="0.25">
      <c r="A37" s="12" t="s">
        <v>9</v>
      </c>
      <c r="B37" s="13"/>
      <c r="D37" s="48" t="s">
        <v>10</v>
      </c>
      <c r="E37" s="99" t="s">
        <v>59</v>
      </c>
      <c r="F37" s="101"/>
      <c r="G37" s="13"/>
    </row>
    <row r="38" spans="1:19" ht="17.100000000000001" customHeight="1" x14ac:dyDescent="0.25">
      <c r="A38" s="14" t="s">
        <v>11</v>
      </c>
      <c r="B38" s="15"/>
      <c r="D38" s="15" t="s">
        <v>48</v>
      </c>
      <c r="E38" s="15" t="s">
        <v>103</v>
      </c>
      <c r="F38" s="15" t="s">
        <v>108</v>
      </c>
      <c r="G38" s="15" t="s">
        <v>48</v>
      </c>
    </row>
    <row r="39" spans="1:19" ht="17.100000000000001" customHeight="1" x14ac:dyDescent="0.25">
      <c r="A39" s="16" t="s">
        <v>16</v>
      </c>
      <c r="B39" s="17">
        <v>301718.18209000002</v>
      </c>
      <c r="D39" s="17">
        <f>299000*100.909091%</f>
        <v>301718.18209000002</v>
      </c>
      <c r="E39" s="17">
        <f>199000*100.909091%</f>
        <v>200809.09109</v>
      </c>
      <c r="F39" s="17">
        <f>139000*100.909091%</f>
        <v>140263.63649</v>
      </c>
      <c r="G39" s="17">
        <f>299000*100.909091%</f>
        <v>301718.18209000002</v>
      </c>
    </row>
    <row r="40" spans="1:19" ht="17.100000000000001" customHeight="1" x14ac:dyDescent="0.25">
      <c r="A40" s="18" t="s">
        <v>17</v>
      </c>
      <c r="B40" s="19">
        <v>1508590.9104500001</v>
      </c>
      <c r="C40" s="20"/>
      <c r="D40" s="19">
        <f>1495000*100.909091%</f>
        <v>1508590.9104500001</v>
      </c>
      <c r="E40" s="19">
        <f>995000*100.909091%</f>
        <v>1004045.45545</v>
      </c>
      <c r="F40" s="19">
        <f>750000*100.909091%</f>
        <v>756818.1825</v>
      </c>
      <c r="G40" s="19">
        <f>1495000*100.909091%</f>
        <v>1508590.9104500001</v>
      </c>
    </row>
    <row r="41" spans="1:19" ht="17.100000000000001" customHeight="1" x14ac:dyDescent="0.25">
      <c r="A41" s="18" t="s">
        <v>18</v>
      </c>
      <c r="B41" s="19"/>
      <c r="C41" s="20"/>
      <c r="D41" s="19"/>
      <c r="E41" s="19"/>
      <c r="F41" s="19"/>
      <c r="G41" s="19"/>
    </row>
    <row r="42" spans="1:19" s="24" customFormat="1" ht="17.100000000000001" customHeight="1" x14ac:dyDescent="0.25">
      <c r="A42" s="22" t="s">
        <v>19</v>
      </c>
      <c r="B42" s="23"/>
      <c r="D42" s="23" t="s">
        <v>51</v>
      </c>
      <c r="E42" s="23" t="s">
        <v>51</v>
      </c>
      <c r="F42" s="23" t="s">
        <v>51</v>
      </c>
      <c r="G42" s="23" t="s">
        <v>51</v>
      </c>
    </row>
    <row r="43" spans="1:19" s="24" customFormat="1" ht="17.100000000000001" customHeight="1" x14ac:dyDescent="0.25">
      <c r="A43" s="22" t="s">
        <v>23</v>
      </c>
      <c r="B43" s="23"/>
      <c r="D43" s="23" t="s">
        <v>51</v>
      </c>
      <c r="E43" s="23" t="s">
        <v>51</v>
      </c>
      <c r="F43" s="23" t="s">
        <v>51</v>
      </c>
      <c r="G43" s="23" t="s">
        <v>51</v>
      </c>
    </row>
    <row r="44" spans="1:19" s="24" customFormat="1" ht="17.100000000000001" customHeight="1" x14ac:dyDescent="0.25">
      <c r="A44" s="22" t="s">
        <v>24</v>
      </c>
      <c r="B44" s="23"/>
      <c r="D44" s="23">
        <v>181636.3596</v>
      </c>
      <c r="E44" s="23">
        <v>181636.3596</v>
      </c>
      <c r="F44" s="23">
        <v>181636.3596</v>
      </c>
      <c r="G44" s="23">
        <v>181636.3596</v>
      </c>
    </row>
    <row r="45" spans="1:19" s="6" customFormat="1" ht="17.100000000000001" customHeight="1" x14ac:dyDescent="0.25">
      <c r="A45" s="25" t="s">
        <v>26</v>
      </c>
      <c r="B45" s="26" t="s">
        <v>52</v>
      </c>
      <c r="D45" s="26" t="s">
        <v>52</v>
      </c>
      <c r="E45" s="26" t="s">
        <v>52</v>
      </c>
      <c r="F45" s="26"/>
      <c r="G45" s="26" t="s">
        <v>52</v>
      </c>
    </row>
    <row r="46" spans="1:19" s="6" customFormat="1" ht="17.100000000000001" customHeight="1" x14ac:dyDescent="0.25">
      <c r="A46" s="25" t="s">
        <v>29</v>
      </c>
      <c r="B46" s="26"/>
      <c r="D46" s="33" t="str">
        <f>E16</f>
        <v>Minipack V. Blockbuster 6 bulan</v>
      </c>
      <c r="E46" s="26" t="s">
        <v>78</v>
      </c>
      <c r="F46" s="26"/>
      <c r="G46" s="26" t="s">
        <v>104</v>
      </c>
    </row>
    <row r="47" spans="1:19" ht="17.100000000000001" customHeight="1" x14ac:dyDescent="0.25">
      <c r="A47" s="18" t="s">
        <v>31</v>
      </c>
      <c r="B47" s="19">
        <f>B39</f>
        <v>301718.18209000002</v>
      </c>
      <c r="C47" s="20"/>
      <c r="D47" s="19">
        <f>D39</f>
        <v>301718.18209000002</v>
      </c>
      <c r="E47" s="19">
        <f>E39</f>
        <v>200809.09109</v>
      </c>
      <c r="F47" s="19">
        <f>F39</f>
        <v>140263.63649</v>
      </c>
      <c r="G47" s="19">
        <f>G39</f>
        <v>301718.18209000002</v>
      </c>
    </row>
    <row r="48" spans="1:19" s="20" customFormat="1" ht="17.100000000000001" customHeight="1" x14ac:dyDescent="0.25">
      <c r="A48" s="18" t="s">
        <v>32</v>
      </c>
      <c r="B48" s="19"/>
      <c r="D48" s="19"/>
      <c r="E48" s="19"/>
      <c r="F48" s="19"/>
      <c r="G48" s="19"/>
    </row>
    <row r="49" spans="1:7" s="24" customFormat="1" ht="14.25" x14ac:dyDescent="0.25">
      <c r="A49" s="22" t="s">
        <v>19</v>
      </c>
      <c r="B49" s="23"/>
      <c r="D49" s="23">
        <v>20181.820200000002</v>
      </c>
      <c r="E49" s="23">
        <v>20181.820200000002</v>
      </c>
      <c r="F49" s="23">
        <v>20181.820200000002</v>
      </c>
      <c r="G49" s="23">
        <v>20181.820200000002</v>
      </c>
    </row>
    <row r="50" spans="1:7" s="24" customFormat="1" ht="14.25" x14ac:dyDescent="0.25">
      <c r="A50" s="22" t="s">
        <v>23</v>
      </c>
      <c r="B50" s="23"/>
      <c r="D50" s="23">
        <v>30272.730300000003</v>
      </c>
      <c r="E50" s="23">
        <v>30272.730300000003</v>
      </c>
      <c r="F50" s="23">
        <v>30272.730300000003</v>
      </c>
      <c r="G50" s="23">
        <v>30272.730300000003</v>
      </c>
    </row>
    <row r="51" spans="1:7" s="24" customFormat="1" ht="14.25" x14ac:dyDescent="0.25">
      <c r="A51" s="22" t="s">
        <v>24</v>
      </c>
      <c r="B51" s="23"/>
      <c r="D51" s="23">
        <v>50454.550500000005</v>
      </c>
      <c r="E51" s="23">
        <v>50454.550500000005</v>
      </c>
      <c r="F51" s="23">
        <v>50454.550500000005</v>
      </c>
      <c r="G51" s="23">
        <v>50454.550500000005</v>
      </c>
    </row>
    <row r="52" spans="1:7" ht="15" x14ac:dyDescent="0.25">
      <c r="A52" s="27" t="s">
        <v>34</v>
      </c>
      <c r="B52" s="28"/>
      <c r="C52" s="20"/>
      <c r="D52" s="34">
        <v>302727.19200000004</v>
      </c>
      <c r="E52" s="28">
        <v>302727.19200000004</v>
      </c>
      <c r="F52" s="28">
        <v>605454.55050000001</v>
      </c>
      <c r="G52" s="28">
        <v>302727.19200000004</v>
      </c>
    </row>
    <row r="53" spans="1:7" ht="15" x14ac:dyDescent="0.25">
      <c r="A53" s="29" t="s">
        <v>36</v>
      </c>
      <c r="B53" s="30"/>
      <c r="D53" s="30"/>
      <c r="E53" s="30"/>
      <c r="F53" s="31"/>
      <c r="G53" s="30"/>
    </row>
    <row r="54" spans="1:7" ht="14.25" x14ac:dyDescent="0.25">
      <c r="A54" s="16" t="s">
        <v>37</v>
      </c>
      <c r="B54" s="17">
        <v>199500</v>
      </c>
      <c r="D54" s="17">
        <f>99000*100.909091%</f>
        <v>99900.000090000001</v>
      </c>
      <c r="E54" s="17">
        <f>99000*100.909091%</f>
        <v>99900.000090000001</v>
      </c>
      <c r="F54" s="17">
        <f>99000*100.909091%</f>
        <v>99900.000090000001</v>
      </c>
      <c r="G54" s="17">
        <f>99000*100.909091%</f>
        <v>99900.000090000001</v>
      </c>
    </row>
    <row r="55" spans="1:7" ht="15" x14ac:dyDescent="0.25">
      <c r="A55" s="18" t="s">
        <v>38</v>
      </c>
      <c r="B55" s="19">
        <v>300000</v>
      </c>
      <c r="C55" s="20"/>
      <c r="D55" s="19">
        <f>300000*100.909091%</f>
        <v>302727.27300000004</v>
      </c>
      <c r="E55" s="19">
        <f>300000*100.909091%</f>
        <v>302727.27300000004</v>
      </c>
      <c r="F55" s="19">
        <f>300000*100.909091%</f>
        <v>302727.27300000004</v>
      </c>
      <c r="G55" s="19">
        <f>300000*100.909091%</f>
        <v>302727.27300000004</v>
      </c>
    </row>
    <row r="56" spans="1:7" ht="15" x14ac:dyDescent="0.25">
      <c r="A56" s="18" t="s">
        <v>39</v>
      </c>
      <c r="B56" s="17"/>
      <c r="D56" s="23" t="s">
        <v>22</v>
      </c>
      <c r="E56" s="23" t="s">
        <v>22</v>
      </c>
      <c r="F56" s="23" t="s">
        <v>22</v>
      </c>
      <c r="G56" s="17" t="s">
        <v>22</v>
      </c>
    </row>
    <row r="57" spans="1:7" s="6" customFormat="1" ht="14.25" x14ac:dyDescent="0.25">
      <c r="A57" s="25" t="s">
        <v>40</v>
      </c>
      <c r="B57" s="26"/>
      <c r="D57" s="26"/>
      <c r="E57" s="26"/>
      <c r="F57" s="26"/>
      <c r="G57" s="26"/>
    </row>
    <row r="58" spans="1:7" s="6" customFormat="1" ht="14.25" x14ac:dyDescent="0.25">
      <c r="A58" s="25" t="s">
        <v>41</v>
      </c>
      <c r="B58" s="26"/>
      <c r="D58" s="33" t="str">
        <f>D46</f>
        <v>Minipack V. Blockbuster 6 bulan</v>
      </c>
      <c r="E58" s="26"/>
      <c r="F58" s="26"/>
      <c r="G58" s="26" t="s">
        <v>104</v>
      </c>
    </row>
    <row r="59" spans="1:7" ht="14.25" x14ac:dyDescent="0.25">
      <c r="A59" s="16" t="s">
        <v>31</v>
      </c>
      <c r="B59" s="17">
        <v>99000</v>
      </c>
      <c r="D59" s="17">
        <f>D54</f>
        <v>99900.000090000001</v>
      </c>
      <c r="E59" s="17">
        <f>E54</f>
        <v>99900.000090000001</v>
      </c>
      <c r="F59" s="17">
        <v>50454.550500000005</v>
      </c>
      <c r="G59" s="17">
        <f>G54</f>
        <v>99900.000090000001</v>
      </c>
    </row>
    <row r="60" spans="1:7" ht="14.25" x14ac:dyDescent="0.25">
      <c r="A60" s="16" t="s">
        <v>42</v>
      </c>
      <c r="B60" s="17"/>
      <c r="D60" s="23"/>
      <c r="E60" s="23"/>
      <c r="F60" s="23"/>
      <c r="G60" s="17"/>
    </row>
    <row r="61" spans="1:7" s="24" customFormat="1" ht="14.25" x14ac:dyDescent="0.25">
      <c r="A61" s="22" t="s">
        <v>43</v>
      </c>
      <c r="B61" s="23"/>
      <c r="D61" s="23" t="s">
        <v>22</v>
      </c>
      <c r="E61" s="23" t="s">
        <v>22</v>
      </c>
      <c r="F61" s="23" t="s">
        <v>22</v>
      </c>
      <c r="G61" s="23" t="s">
        <v>22</v>
      </c>
    </row>
    <row r="62" spans="1:7" s="24" customFormat="1" ht="14.25" x14ac:dyDescent="0.25">
      <c r="A62" s="22" t="s">
        <v>44</v>
      </c>
      <c r="B62" s="23"/>
      <c r="D62" s="23" t="s">
        <v>22</v>
      </c>
      <c r="E62" s="23" t="s">
        <v>22</v>
      </c>
      <c r="F62" s="23" t="s">
        <v>22</v>
      </c>
      <c r="G62" s="23" t="s">
        <v>22</v>
      </c>
    </row>
    <row r="63" spans="1:7" s="24" customFormat="1" ht="14.25" x14ac:dyDescent="0.25">
      <c r="A63" s="22" t="s">
        <v>45</v>
      </c>
      <c r="B63" s="23"/>
      <c r="D63" s="23">
        <v>50454.550500000005</v>
      </c>
      <c r="E63" s="23">
        <v>50454.550500000005</v>
      </c>
      <c r="F63" s="23">
        <v>50454.550500000005</v>
      </c>
      <c r="G63" s="23">
        <v>50454.550500000005</v>
      </c>
    </row>
    <row r="65" spans="1:7" ht="15" x14ac:dyDescent="0.25">
      <c r="B65" s="7" t="s">
        <v>1</v>
      </c>
      <c r="D65" s="96" t="s">
        <v>2</v>
      </c>
      <c r="E65" s="97"/>
      <c r="F65" s="98"/>
      <c r="G65" s="50" t="s">
        <v>72</v>
      </c>
    </row>
    <row r="66" spans="1:7" ht="15" x14ac:dyDescent="0.25">
      <c r="A66" s="9" t="s">
        <v>3</v>
      </c>
      <c r="B66" s="10" t="s">
        <v>109</v>
      </c>
      <c r="D66" s="10" t="s">
        <v>5</v>
      </c>
      <c r="E66" s="10" t="s">
        <v>6</v>
      </c>
      <c r="F66" s="10"/>
      <c r="G66" s="11" t="s">
        <v>101</v>
      </c>
    </row>
    <row r="67" spans="1:7" ht="15" x14ac:dyDescent="0.25">
      <c r="A67" s="12" t="s">
        <v>9</v>
      </c>
      <c r="B67" s="13"/>
      <c r="D67" s="99" t="s">
        <v>59</v>
      </c>
      <c r="E67" s="100"/>
      <c r="F67" s="101"/>
      <c r="G67" s="13"/>
    </row>
    <row r="68" spans="1:7" ht="15" x14ac:dyDescent="0.25">
      <c r="A68" s="14" t="s">
        <v>11</v>
      </c>
      <c r="B68" s="15"/>
      <c r="D68" s="15" t="s">
        <v>103</v>
      </c>
      <c r="E68" s="15" t="s">
        <v>108</v>
      </c>
      <c r="F68" s="15" t="s">
        <v>84</v>
      </c>
      <c r="G68" s="15" t="s">
        <v>103</v>
      </c>
    </row>
    <row r="69" spans="1:7" ht="14.25" x14ac:dyDescent="0.25">
      <c r="A69" s="16" t="s">
        <v>16</v>
      </c>
      <c r="B69" s="17">
        <v>200809.09109</v>
      </c>
      <c r="D69" s="17">
        <f>199000*100.909091%</f>
        <v>200809.09109</v>
      </c>
      <c r="E69" s="17">
        <f>139000*100.909091%</f>
        <v>140263.63649</v>
      </c>
      <c r="F69" s="17">
        <f>99000*100.909091%</f>
        <v>99900.000090000001</v>
      </c>
      <c r="G69" s="17">
        <f>199000*100.909091%</f>
        <v>200809.09109</v>
      </c>
    </row>
    <row r="70" spans="1:7" ht="15" x14ac:dyDescent="0.25">
      <c r="A70" s="18" t="s">
        <v>17</v>
      </c>
      <c r="B70" s="19">
        <v>1004045.45545</v>
      </c>
      <c r="C70" s="20"/>
      <c r="D70" s="19">
        <f>995000*100.909091%</f>
        <v>1004045.45545</v>
      </c>
      <c r="E70" s="19">
        <f>750000*100.909091%</f>
        <v>756818.1825</v>
      </c>
      <c r="F70" s="19">
        <f>495000*100.909091%</f>
        <v>499500.00045000005</v>
      </c>
      <c r="G70" s="19">
        <f>995000*100.909091%</f>
        <v>1004045.45545</v>
      </c>
    </row>
    <row r="71" spans="1:7" ht="15" x14ac:dyDescent="0.25">
      <c r="A71" s="18" t="s">
        <v>18</v>
      </c>
      <c r="B71" s="19"/>
      <c r="C71" s="20"/>
      <c r="D71" s="19"/>
      <c r="E71" s="19"/>
      <c r="F71" s="19"/>
      <c r="G71" s="19"/>
    </row>
    <row r="72" spans="1:7" s="24" customFormat="1" ht="14.25" x14ac:dyDescent="0.25">
      <c r="A72" s="22" t="s">
        <v>19</v>
      </c>
      <c r="B72" s="23"/>
      <c r="D72" s="23">
        <v>100909.08990000001</v>
      </c>
      <c r="E72" s="23" t="s">
        <v>21</v>
      </c>
      <c r="F72" s="23" t="s">
        <v>21</v>
      </c>
      <c r="G72" s="23">
        <v>100909.08990000001</v>
      </c>
    </row>
    <row r="73" spans="1:7" s="24" customFormat="1" ht="14.25" x14ac:dyDescent="0.25">
      <c r="A73" s="22" t="s">
        <v>23</v>
      </c>
      <c r="B73" s="23"/>
      <c r="D73" s="23">
        <v>151363.64040000003</v>
      </c>
      <c r="E73" s="23" t="s">
        <v>21</v>
      </c>
      <c r="F73" s="23" t="s">
        <v>21</v>
      </c>
      <c r="G73" s="23">
        <v>151363.64040000003</v>
      </c>
    </row>
    <row r="74" spans="1:7" s="24" customFormat="1" ht="14.25" x14ac:dyDescent="0.25">
      <c r="A74" s="22" t="s">
        <v>24</v>
      </c>
      <c r="B74" s="23"/>
      <c r="D74" s="23">
        <v>181636.3596</v>
      </c>
      <c r="E74" s="23">
        <v>181636.3596</v>
      </c>
      <c r="F74" s="23">
        <v>181636.3596</v>
      </c>
      <c r="G74" s="23">
        <v>181636.3596</v>
      </c>
    </row>
    <row r="75" spans="1:7" s="6" customFormat="1" ht="14.25" x14ac:dyDescent="0.25">
      <c r="A75" s="25" t="s">
        <v>26</v>
      </c>
      <c r="B75" s="26" t="s">
        <v>52</v>
      </c>
      <c r="D75" s="26" t="s">
        <v>52</v>
      </c>
      <c r="E75" s="26"/>
      <c r="F75" s="26" t="s">
        <v>52</v>
      </c>
      <c r="G75" s="26" t="s">
        <v>52</v>
      </c>
    </row>
    <row r="76" spans="1:7" s="6" customFormat="1" ht="14.25" x14ac:dyDescent="0.25">
      <c r="A76" s="25" t="s">
        <v>29</v>
      </c>
      <c r="B76" s="26"/>
      <c r="D76" s="26" t="s">
        <v>54</v>
      </c>
      <c r="E76" s="26" t="s">
        <v>110</v>
      </c>
      <c r="F76" s="26"/>
      <c r="G76" s="26" t="s">
        <v>104</v>
      </c>
    </row>
    <row r="77" spans="1:7" ht="15" x14ac:dyDescent="0.25">
      <c r="A77" s="18" t="s">
        <v>31</v>
      </c>
      <c r="B77" s="19">
        <f>B69</f>
        <v>200809.09109</v>
      </c>
      <c r="C77" s="20"/>
      <c r="D77" s="19">
        <f>D69</f>
        <v>200809.09109</v>
      </c>
      <c r="E77" s="19">
        <f>E69</f>
        <v>140263.63649</v>
      </c>
      <c r="F77" s="19">
        <f>F69</f>
        <v>99900.000090000001</v>
      </c>
      <c r="G77" s="19">
        <f>G69</f>
        <v>200809.09109</v>
      </c>
    </row>
    <row r="78" spans="1:7" s="20" customFormat="1" ht="15" x14ac:dyDescent="0.25">
      <c r="A78" s="18" t="s">
        <v>32</v>
      </c>
      <c r="B78" s="19"/>
      <c r="D78" s="19"/>
      <c r="E78" s="19"/>
      <c r="F78" s="19"/>
      <c r="G78" s="19"/>
    </row>
    <row r="79" spans="1:7" s="24" customFormat="1" ht="14.25" x14ac:dyDescent="0.25">
      <c r="A79" s="22" t="s">
        <v>19</v>
      </c>
      <c r="B79" s="23"/>
      <c r="D79" s="23">
        <v>20181.820200000002</v>
      </c>
      <c r="E79" s="23">
        <v>20181.820200000002</v>
      </c>
      <c r="F79" s="23">
        <v>20181.820200000002</v>
      </c>
      <c r="G79" s="23">
        <v>20181.820200000002</v>
      </c>
    </row>
    <row r="80" spans="1:7" s="24" customFormat="1" ht="14.25" x14ac:dyDescent="0.25">
      <c r="A80" s="22" t="s">
        <v>23</v>
      </c>
      <c r="B80" s="23"/>
      <c r="D80" s="23">
        <v>30272.730300000003</v>
      </c>
      <c r="E80" s="23">
        <v>30272.730300000003</v>
      </c>
      <c r="F80" s="23">
        <v>30272.730300000003</v>
      </c>
      <c r="G80" s="23">
        <v>30272.730300000003</v>
      </c>
    </row>
    <row r="81" spans="1:7" s="24" customFormat="1" ht="14.25" x14ac:dyDescent="0.25">
      <c r="A81" s="22" t="s">
        <v>24</v>
      </c>
      <c r="B81" s="23"/>
      <c r="D81" s="23">
        <v>50454.550500000005</v>
      </c>
      <c r="E81" s="23">
        <v>50454.550500000005</v>
      </c>
      <c r="F81" s="23">
        <v>50454.550500000005</v>
      </c>
      <c r="G81" s="23">
        <v>50454.550500000005</v>
      </c>
    </row>
    <row r="82" spans="1:7" ht="15" x14ac:dyDescent="0.25">
      <c r="A82" s="27" t="s">
        <v>34</v>
      </c>
      <c r="B82" s="28"/>
      <c r="C82" s="20"/>
      <c r="D82" s="28">
        <v>302727.19200000004</v>
      </c>
      <c r="E82" s="28">
        <v>302727.19200000004</v>
      </c>
      <c r="F82" s="28">
        <v>605454.55050000001</v>
      </c>
      <c r="G82" s="28">
        <v>302727.19200000004</v>
      </c>
    </row>
    <row r="83" spans="1:7" ht="15" x14ac:dyDescent="0.25">
      <c r="A83" s="29" t="s">
        <v>36</v>
      </c>
      <c r="B83" s="30"/>
      <c r="D83" s="30"/>
      <c r="E83" s="30"/>
      <c r="F83" s="31"/>
      <c r="G83" s="30"/>
    </row>
    <row r="84" spans="1:7" ht="14.25" x14ac:dyDescent="0.25">
      <c r="A84" s="16" t="s">
        <v>37</v>
      </c>
      <c r="B84" s="17">
        <v>99000</v>
      </c>
      <c r="D84" s="17">
        <f>99000*100.909091%</f>
        <v>99900.000090000001</v>
      </c>
      <c r="E84" s="17">
        <f>50000*100.909091%</f>
        <v>50454.5455</v>
      </c>
      <c r="F84" s="17">
        <f>99000*100.909091%</f>
        <v>99900.000090000001</v>
      </c>
      <c r="G84" s="17">
        <f>99000*100.909091%</f>
        <v>99900.000090000001</v>
      </c>
    </row>
    <row r="85" spans="1:7" ht="15" x14ac:dyDescent="0.25">
      <c r="A85" s="18" t="s">
        <v>38</v>
      </c>
      <c r="B85" s="19">
        <f>B84*5</f>
        <v>495000</v>
      </c>
      <c r="C85" s="20"/>
      <c r="D85" s="19">
        <f>300000*100.909091%</f>
        <v>302727.27300000004</v>
      </c>
      <c r="E85" s="19">
        <f>300000*100.909091%</f>
        <v>302727.27300000004</v>
      </c>
      <c r="F85" s="19">
        <f>300000*100.909091%</f>
        <v>302727.27300000004</v>
      </c>
      <c r="G85" s="19">
        <f>300000*100.909091%</f>
        <v>302727.27300000004</v>
      </c>
    </row>
    <row r="86" spans="1:7" ht="15" x14ac:dyDescent="0.25">
      <c r="A86" s="18" t="s">
        <v>39</v>
      </c>
      <c r="B86" s="17"/>
      <c r="D86" s="23" t="s">
        <v>22</v>
      </c>
      <c r="E86" s="23" t="s">
        <v>22</v>
      </c>
      <c r="F86" s="23" t="s">
        <v>22</v>
      </c>
      <c r="G86" s="17" t="s">
        <v>22</v>
      </c>
    </row>
    <row r="87" spans="1:7" s="6" customFormat="1" ht="14.25" x14ac:dyDescent="0.25">
      <c r="A87" s="25" t="s">
        <v>40</v>
      </c>
      <c r="B87" s="26"/>
      <c r="D87" s="26"/>
      <c r="E87" s="26"/>
      <c r="F87" s="26"/>
      <c r="G87" s="26"/>
    </row>
    <row r="88" spans="1:7" s="6" customFormat="1" ht="14.25" x14ac:dyDescent="0.25">
      <c r="A88" s="25" t="s">
        <v>41</v>
      </c>
      <c r="B88" s="26"/>
      <c r="D88" s="26" t="str">
        <f>D76</f>
        <v>All Channel 6 bulan</v>
      </c>
      <c r="E88" s="26"/>
      <c r="F88" s="26"/>
      <c r="G88" s="26" t="s">
        <v>111</v>
      </c>
    </row>
    <row r="89" spans="1:7" ht="14.25" x14ac:dyDescent="0.25">
      <c r="A89" s="16" t="s">
        <v>31</v>
      </c>
      <c r="B89" s="17">
        <f>B84</f>
        <v>99000</v>
      </c>
      <c r="D89" s="17">
        <f>D84</f>
        <v>99900.000090000001</v>
      </c>
      <c r="E89" s="17">
        <f>E84</f>
        <v>50454.5455</v>
      </c>
      <c r="F89" s="17">
        <f>F84</f>
        <v>99900.000090000001</v>
      </c>
      <c r="G89" s="17">
        <f>G84</f>
        <v>99900.000090000001</v>
      </c>
    </row>
    <row r="90" spans="1:7" ht="14.25" x14ac:dyDescent="0.25">
      <c r="A90" s="16" t="s">
        <v>42</v>
      </c>
      <c r="B90" s="17"/>
      <c r="D90" s="23"/>
      <c r="E90" s="23"/>
      <c r="F90" s="23"/>
      <c r="G90" s="17"/>
    </row>
    <row r="91" spans="1:7" s="24" customFormat="1" ht="14.25" x14ac:dyDescent="0.25">
      <c r="A91" s="22" t="s">
        <v>43</v>
      </c>
      <c r="B91" s="23"/>
      <c r="D91" s="23" t="s">
        <v>22</v>
      </c>
      <c r="E91" s="23" t="s">
        <v>22</v>
      </c>
      <c r="F91" s="23" t="s">
        <v>22</v>
      </c>
      <c r="G91" s="23" t="s">
        <v>22</v>
      </c>
    </row>
    <row r="92" spans="1:7" s="24" customFormat="1" ht="14.25" x14ac:dyDescent="0.25">
      <c r="A92" s="22" t="s">
        <v>44</v>
      </c>
      <c r="B92" s="23"/>
      <c r="D92" s="23" t="s">
        <v>22</v>
      </c>
      <c r="E92" s="23" t="s">
        <v>22</v>
      </c>
      <c r="F92" s="23" t="s">
        <v>22</v>
      </c>
      <c r="G92" s="23" t="s">
        <v>22</v>
      </c>
    </row>
    <row r="93" spans="1:7" s="24" customFormat="1" ht="14.25" x14ac:dyDescent="0.25">
      <c r="A93" s="22" t="s">
        <v>45</v>
      </c>
      <c r="B93" s="23"/>
      <c r="D93" s="23">
        <v>50454.550500000005</v>
      </c>
      <c r="E93" s="23">
        <v>50454.550500000005</v>
      </c>
      <c r="F93" s="23">
        <v>50454.550500000005</v>
      </c>
      <c r="G93" s="23">
        <v>50454.550500000005</v>
      </c>
    </row>
    <row r="95" spans="1:7" ht="15" x14ac:dyDescent="0.25">
      <c r="B95" s="7" t="s">
        <v>1</v>
      </c>
      <c r="D95" s="96" t="s">
        <v>2</v>
      </c>
      <c r="E95" s="97"/>
      <c r="F95" s="98"/>
      <c r="G95" s="50" t="s">
        <v>72</v>
      </c>
    </row>
    <row r="96" spans="1:7" ht="15" x14ac:dyDescent="0.25">
      <c r="A96" s="9" t="s">
        <v>3</v>
      </c>
      <c r="B96" s="10" t="s">
        <v>112</v>
      </c>
      <c r="D96" s="10" t="s">
        <v>5</v>
      </c>
      <c r="E96" s="10" t="s">
        <v>6</v>
      </c>
      <c r="F96" s="10" t="s">
        <v>7</v>
      </c>
      <c r="G96" s="11" t="s">
        <v>101</v>
      </c>
    </row>
    <row r="97" spans="1:7" ht="15" x14ac:dyDescent="0.25">
      <c r="A97" s="12" t="s">
        <v>9</v>
      </c>
      <c r="B97" s="13"/>
      <c r="D97" s="99" t="s">
        <v>59</v>
      </c>
      <c r="E97" s="100"/>
      <c r="F97" s="101"/>
      <c r="G97" s="13"/>
    </row>
    <row r="98" spans="1:7" ht="15" x14ac:dyDescent="0.25">
      <c r="A98" s="14" t="s">
        <v>11</v>
      </c>
      <c r="B98" s="15"/>
      <c r="D98" s="15" t="s">
        <v>113</v>
      </c>
      <c r="E98" s="15" t="s">
        <v>108</v>
      </c>
      <c r="F98" s="15" t="s">
        <v>75</v>
      </c>
      <c r="G98" s="15"/>
    </row>
    <row r="99" spans="1:7" ht="14.25" x14ac:dyDescent="0.25">
      <c r="A99" s="16" t="s">
        <v>16</v>
      </c>
      <c r="B99" s="17">
        <v>200809.09109</v>
      </c>
      <c r="D99" s="17">
        <f>199000*100.909091%</f>
        <v>200809.09109</v>
      </c>
      <c r="E99" s="17">
        <f>139000*100.909091%</f>
        <v>140263.63649</v>
      </c>
      <c r="F99" s="17">
        <f>99000*100.909091%</f>
        <v>99900.000090000001</v>
      </c>
      <c r="G99" s="17"/>
    </row>
    <row r="100" spans="1:7" ht="15" x14ac:dyDescent="0.25">
      <c r="A100" s="18" t="s">
        <v>17</v>
      </c>
      <c r="B100" s="19">
        <v>1004045.45545</v>
      </c>
      <c r="C100" s="20"/>
      <c r="D100" s="19">
        <f>995000*100.909091%</f>
        <v>1004045.45545</v>
      </c>
      <c r="E100" s="19">
        <f>750000*100.909091%</f>
        <v>756818.1825</v>
      </c>
      <c r="F100" s="19">
        <f>597000*100.909091%</f>
        <v>602427.27327000001</v>
      </c>
      <c r="G100" s="19"/>
    </row>
    <row r="101" spans="1:7" ht="15" x14ac:dyDescent="0.25">
      <c r="A101" s="18" t="s">
        <v>18</v>
      </c>
      <c r="B101" s="19"/>
      <c r="C101" s="20"/>
      <c r="D101" s="19"/>
      <c r="E101" s="19"/>
      <c r="F101" s="19"/>
      <c r="G101" s="19"/>
    </row>
    <row r="102" spans="1:7" s="24" customFormat="1" ht="14.25" x14ac:dyDescent="0.25">
      <c r="A102" s="22" t="s">
        <v>19</v>
      </c>
      <c r="B102" s="23"/>
      <c r="D102" s="23" t="s">
        <v>51</v>
      </c>
      <c r="E102" s="23" t="s">
        <v>51</v>
      </c>
      <c r="F102" s="23">
        <v>0</v>
      </c>
      <c r="G102" s="23"/>
    </row>
    <row r="103" spans="1:7" s="24" customFormat="1" ht="14.25" x14ac:dyDescent="0.25">
      <c r="A103" s="22" t="s">
        <v>23</v>
      </c>
      <c r="B103" s="23"/>
      <c r="D103" s="23" t="s">
        <v>51</v>
      </c>
      <c r="E103" s="23" t="s">
        <v>51</v>
      </c>
      <c r="F103" s="23" t="s">
        <v>21</v>
      </c>
      <c r="G103" s="23"/>
    </row>
    <row r="104" spans="1:7" s="24" customFormat="1" ht="14.25" x14ac:dyDescent="0.25">
      <c r="A104" s="22" t="s">
        <v>24</v>
      </c>
      <c r="B104" s="23"/>
      <c r="D104" s="23">
        <v>181636.3596</v>
      </c>
      <c r="E104" s="23">
        <v>181636.3596</v>
      </c>
      <c r="F104" s="23">
        <v>181636.3596</v>
      </c>
      <c r="G104" s="23"/>
    </row>
    <row r="105" spans="1:7" s="6" customFormat="1" ht="14.25" x14ac:dyDescent="0.25">
      <c r="A105" s="25" t="s">
        <v>26</v>
      </c>
      <c r="B105" s="26" t="s">
        <v>52</v>
      </c>
      <c r="D105" s="26" t="s">
        <v>52</v>
      </c>
      <c r="E105" s="26"/>
      <c r="F105" s="26"/>
      <c r="G105" s="26"/>
    </row>
    <row r="106" spans="1:7" s="6" customFormat="1" ht="14.25" x14ac:dyDescent="0.25">
      <c r="A106" s="25" t="s">
        <v>29</v>
      </c>
      <c r="B106" s="26"/>
      <c r="D106" s="26" t="s">
        <v>54</v>
      </c>
      <c r="E106" s="26" t="s">
        <v>54</v>
      </c>
      <c r="F106" s="26" t="s">
        <v>78</v>
      </c>
      <c r="G106" s="26"/>
    </row>
    <row r="107" spans="1:7" ht="15" x14ac:dyDescent="0.25">
      <c r="A107" s="18" t="s">
        <v>31</v>
      </c>
      <c r="B107" s="19">
        <f>B99</f>
        <v>200809.09109</v>
      </c>
      <c r="C107" s="20"/>
      <c r="D107" s="19">
        <f>D99</f>
        <v>200809.09109</v>
      </c>
      <c r="E107" s="19">
        <f>E99</f>
        <v>140263.63649</v>
      </c>
      <c r="F107" s="19">
        <f>F99</f>
        <v>99900.000090000001</v>
      </c>
      <c r="G107" s="19"/>
    </row>
    <row r="108" spans="1:7" s="20" customFormat="1" ht="15" x14ac:dyDescent="0.25">
      <c r="A108" s="18" t="s">
        <v>32</v>
      </c>
      <c r="B108" s="19"/>
      <c r="D108" s="19"/>
      <c r="E108" s="19"/>
      <c r="F108" s="19"/>
      <c r="G108" s="19"/>
    </row>
    <row r="109" spans="1:7" s="24" customFormat="1" ht="14.25" x14ac:dyDescent="0.25">
      <c r="A109" s="22" t="s">
        <v>19</v>
      </c>
      <c r="B109" s="23"/>
      <c r="D109" s="23">
        <v>20181.820200000002</v>
      </c>
      <c r="E109" s="23">
        <v>20181.820200000002</v>
      </c>
      <c r="F109" s="23" t="s">
        <v>22</v>
      </c>
      <c r="G109" s="23"/>
    </row>
    <row r="110" spans="1:7" s="24" customFormat="1" ht="14.25" x14ac:dyDescent="0.25">
      <c r="A110" s="22" t="s">
        <v>23</v>
      </c>
      <c r="B110" s="23"/>
      <c r="D110" s="23">
        <v>30272.730300000003</v>
      </c>
      <c r="E110" s="23">
        <v>30272.730300000003</v>
      </c>
      <c r="F110" s="23" t="s">
        <v>22</v>
      </c>
      <c r="G110" s="23"/>
    </row>
    <row r="111" spans="1:7" s="24" customFormat="1" ht="14.25" x14ac:dyDescent="0.25">
      <c r="A111" s="22" t="s">
        <v>24</v>
      </c>
      <c r="B111" s="23"/>
      <c r="D111" s="23">
        <v>50454.550500000005</v>
      </c>
      <c r="E111" s="23">
        <v>50454.550500000005</v>
      </c>
      <c r="F111" s="23">
        <v>50454.550500000005</v>
      </c>
      <c r="G111" s="23"/>
    </row>
    <row r="112" spans="1:7" ht="15" x14ac:dyDescent="0.25">
      <c r="A112" s="27" t="s">
        <v>34</v>
      </c>
      <c r="B112" s="28"/>
      <c r="C112" s="20"/>
      <c r="D112" s="52">
        <v>302727.19200000004</v>
      </c>
      <c r="E112" s="28">
        <v>302727.19200000004</v>
      </c>
      <c r="F112" s="52">
        <v>302727.19200000004</v>
      </c>
      <c r="G112" s="28"/>
    </row>
    <row r="113" spans="1:7" ht="15" x14ac:dyDescent="0.25">
      <c r="A113" s="29" t="s">
        <v>36</v>
      </c>
      <c r="B113" s="30"/>
      <c r="D113" s="30"/>
      <c r="E113" s="30"/>
      <c r="F113" s="31"/>
      <c r="G113" s="30"/>
    </row>
    <row r="114" spans="1:7" ht="14.25" x14ac:dyDescent="0.25">
      <c r="A114" s="16" t="s">
        <v>37</v>
      </c>
      <c r="B114" s="17">
        <v>99500</v>
      </c>
      <c r="D114" s="17">
        <f>50000*100.909091%</f>
        <v>50454.5455</v>
      </c>
      <c r="E114" s="17">
        <f>50000*100.909091%</f>
        <v>50454.5455</v>
      </c>
      <c r="F114" s="17">
        <f>50000*100.909091%</f>
        <v>50454.5455</v>
      </c>
      <c r="G114" s="17"/>
    </row>
    <row r="115" spans="1:7" ht="15" x14ac:dyDescent="0.25">
      <c r="A115" s="18" t="s">
        <v>38</v>
      </c>
      <c r="B115" s="19">
        <v>300000</v>
      </c>
      <c r="C115" s="20"/>
      <c r="D115" s="19">
        <f>300000*100.909091%</f>
        <v>302727.27300000004</v>
      </c>
      <c r="E115" s="19">
        <f>300000*100.909091%</f>
        <v>302727.27300000004</v>
      </c>
      <c r="F115" s="19">
        <f>300000*100.909091%</f>
        <v>302727.27300000004</v>
      </c>
      <c r="G115" s="19"/>
    </row>
    <row r="116" spans="1:7" ht="15" x14ac:dyDescent="0.25">
      <c r="A116" s="18" t="s">
        <v>39</v>
      </c>
      <c r="B116" s="17"/>
      <c r="D116" s="23" t="s">
        <v>22</v>
      </c>
      <c r="E116" s="23" t="s">
        <v>22</v>
      </c>
      <c r="F116" s="23" t="s">
        <v>22</v>
      </c>
      <c r="G116" s="17"/>
    </row>
    <row r="117" spans="1:7" s="6" customFormat="1" ht="14.25" x14ac:dyDescent="0.25">
      <c r="A117" s="25" t="s">
        <v>40</v>
      </c>
      <c r="B117" s="26"/>
      <c r="D117" s="26" t="str">
        <f>D106</f>
        <v>All Channel 6 bulan</v>
      </c>
      <c r="E117" s="26"/>
      <c r="F117" s="26"/>
      <c r="G117" s="26"/>
    </row>
    <row r="118" spans="1:7" s="6" customFormat="1" ht="14.25" x14ac:dyDescent="0.25">
      <c r="A118" s="25" t="s">
        <v>41</v>
      </c>
      <c r="B118" s="26"/>
      <c r="D118" s="26"/>
      <c r="E118" s="26"/>
      <c r="F118" s="26"/>
      <c r="G118" s="26"/>
    </row>
    <row r="119" spans="1:7" ht="14.25" x14ac:dyDescent="0.25">
      <c r="A119" s="16" t="s">
        <v>31</v>
      </c>
      <c r="B119" s="17">
        <f>B114</f>
        <v>99500</v>
      </c>
      <c r="D119" s="17">
        <f>D114</f>
        <v>50454.5455</v>
      </c>
      <c r="E119" s="17">
        <f>E114</f>
        <v>50454.5455</v>
      </c>
      <c r="F119" s="17">
        <f>F114</f>
        <v>50454.5455</v>
      </c>
      <c r="G119" s="17"/>
    </row>
    <row r="120" spans="1:7" ht="14.25" x14ac:dyDescent="0.25">
      <c r="A120" s="16" t="s">
        <v>42</v>
      </c>
      <c r="B120" s="17"/>
      <c r="D120" s="23"/>
      <c r="E120" s="23"/>
      <c r="F120" s="23"/>
      <c r="G120" s="17"/>
    </row>
    <row r="121" spans="1:7" s="24" customFormat="1" ht="14.25" x14ac:dyDescent="0.25">
      <c r="A121" s="22" t="s">
        <v>43</v>
      </c>
      <c r="B121" s="23"/>
      <c r="D121" s="23" t="s">
        <v>22</v>
      </c>
      <c r="E121" s="23" t="s">
        <v>22</v>
      </c>
      <c r="F121" s="23" t="s">
        <v>22</v>
      </c>
      <c r="G121" s="23"/>
    </row>
    <row r="122" spans="1:7" s="24" customFormat="1" ht="14.25" x14ac:dyDescent="0.25">
      <c r="A122" s="22" t="s">
        <v>44</v>
      </c>
      <c r="B122" s="23"/>
      <c r="D122" s="23" t="s">
        <v>22</v>
      </c>
      <c r="E122" s="23" t="s">
        <v>22</v>
      </c>
      <c r="F122" s="23" t="s">
        <v>22</v>
      </c>
      <c r="G122" s="23"/>
    </row>
    <row r="123" spans="1:7" s="24" customFormat="1" ht="14.25" x14ac:dyDescent="0.25">
      <c r="A123" s="22" t="s">
        <v>45</v>
      </c>
      <c r="B123" s="23"/>
      <c r="D123" s="23">
        <v>50454.550500000005</v>
      </c>
      <c r="E123" s="23">
        <v>50454.550500000005</v>
      </c>
      <c r="F123" s="23">
        <v>50454.550500000005</v>
      </c>
      <c r="G123" s="23"/>
    </row>
    <row r="124" spans="1:7" ht="14.25" x14ac:dyDescent="0.25">
      <c r="F124" s="2">
        <v>0</v>
      </c>
    </row>
    <row r="125" spans="1:7" ht="15" x14ac:dyDescent="0.25">
      <c r="B125" s="7" t="s">
        <v>1</v>
      </c>
      <c r="D125" s="96" t="s">
        <v>2</v>
      </c>
      <c r="E125" s="97"/>
      <c r="F125" s="98"/>
    </row>
    <row r="126" spans="1:7" ht="15" x14ac:dyDescent="0.25">
      <c r="A126" s="9" t="s">
        <v>3</v>
      </c>
      <c r="B126" s="10" t="s">
        <v>114</v>
      </c>
      <c r="D126" s="10" t="s">
        <v>5</v>
      </c>
      <c r="E126" s="10" t="s">
        <v>6</v>
      </c>
      <c r="F126" s="10" t="s">
        <v>7</v>
      </c>
      <c r="G126" s="11" t="s">
        <v>101</v>
      </c>
    </row>
    <row r="127" spans="1:7" ht="15" x14ac:dyDescent="0.25">
      <c r="A127" s="12" t="s">
        <v>9</v>
      </c>
      <c r="B127" s="13"/>
      <c r="D127" s="99" t="s">
        <v>59</v>
      </c>
      <c r="E127" s="100"/>
      <c r="F127" s="101"/>
      <c r="G127" s="13"/>
    </row>
    <row r="128" spans="1:7" ht="15" x14ac:dyDescent="0.25">
      <c r="A128" s="14" t="s">
        <v>11</v>
      </c>
      <c r="B128" s="15"/>
      <c r="D128" s="15" t="s">
        <v>108</v>
      </c>
      <c r="E128" s="15" t="s">
        <v>108</v>
      </c>
      <c r="F128" s="15" t="s">
        <v>75</v>
      </c>
      <c r="G128" s="15"/>
    </row>
    <row r="129" spans="1:7" ht="14.25" x14ac:dyDescent="0.25">
      <c r="A129" s="16" t="s">
        <v>16</v>
      </c>
      <c r="B129" s="17">
        <v>140263.63649</v>
      </c>
      <c r="D129" s="17">
        <f>139000*100.909091%</f>
        <v>140263.63649</v>
      </c>
      <c r="E129" s="17">
        <f>139000*100.909091%</f>
        <v>140263.63649</v>
      </c>
      <c r="F129" s="17">
        <f>99000*100.909091%</f>
        <v>99900.000090000001</v>
      </c>
      <c r="G129" s="17"/>
    </row>
    <row r="130" spans="1:7" ht="15" x14ac:dyDescent="0.25">
      <c r="A130" s="18" t="s">
        <v>17</v>
      </c>
      <c r="B130" s="19">
        <v>756818.1825</v>
      </c>
      <c r="C130" s="20"/>
      <c r="D130" s="19">
        <f>750000*100.909091%</f>
        <v>756818.1825</v>
      </c>
      <c r="E130" s="19">
        <f>750000*100.909091%</f>
        <v>756818.1825</v>
      </c>
      <c r="F130" s="19">
        <f>597000*100.909091%</f>
        <v>602427.27327000001</v>
      </c>
      <c r="G130" s="19"/>
    </row>
    <row r="131" spans="1:7" ht="15" x14ac:dyDescent="0.25">
      <c r="A131" s="18" t="s">
        <v>18</v>
      </c>
      <c r="B131" s="19"/>
      <c r="C131" s="20"/>
      <c r="D131" s="19"/>
      <c r="E131" s="19"/>
      <c r="F131" s="19"/>
      <c r="G131" s="19"/>
    </row>
    <row r="132" spans="1:7" s="24" customFormat="1" ht="14.25" x14ac:dyDescent="0.25">
      <c r="A132" s="22" t="s">
        <v>19</v>
      </c>
      <c r="B132" s="23"/>
      <c r="D132" s="23" t="s">
        <v>51</v>
      </c>
      <c r="E132" s="23" t="s">
        <v>51</v>
      </c>
      <c r="F132" s="23" t="s">
        <v>51</v>
      </c>
      <c r="G132" s="23"/>
    </row>
    <row r="133" spans="1:7" s="24" customFormat="1" ht="14.25" x14ac:dyDescent="0.25">
      <c r="A133" s="22" t="s">
        <v>23</v>
      </c>
      <c r="B133" s="23"/>
      <c r="D133" s="23" t="s">
        <v>51</v>
      </c>
      <c r="E133" s="23" t="s">
        <v>51</v>
      </c>
      <c r="F133" s="23" t="s">
        <v>51</v>
      </c>
      <c r="G133" s="23"/>
    </row>
    <row r="134" spans="1:7" s="24" customFormat="1" ht="14.25" x14ac:dyDescent="0.25">
      <c r="A134" s="22" t="s">
        <v>24</v>
      </c>
      <c r="B134" s="23"/>
      <c r="D134" s="23">
        <v>181636.3596</v>
      </c>
      <c r="E134" s="23">
        <v>181636.3596</v>
      </c>
      <c r="F134" s="23">
        <v>181636.3596</v>
      </c>
      <c r="G134" s="23"/>
    </row>
    <row r="135" spans="1:7" s="6" customFormat="1" ht="14.25" x14ac:dyDescent="0.25">
      <c r="A135" s="25" t="s">
        <v>26</v>
      </c>
      <c r="B135" s="26"/>
      <c r="D135" s="26"/>
      <c r="E135" s="26"/>
      <c r="F135" s="26"/>
      <c r="G135" s="26"/>
    </row>
    <row r="136" spans="1:7" s="6" customFormat="1" ht="14.25" x14ac:dyDescent="0.25">
      <c r="A136" s="25" t="s">
        <v>29</v>
      </c>
      <c r="B136" s="26"/>
      <c r="D136" s="26" t="s">
        <v>78</v>
      </c>
      <c r="E136" s="26" t="s">
        <v>115</v>
      </c>
      <c r="F136" s="26" t="s">
        <v>78</v>
      </c>
      <c r="G136" s="26"/>
    </row>
    <row r="137" spans="1:7" ht="15" x14ac:dyDescent="0.25">
      <c r="A137" s="18" t="s">
        <v>31</v>
      </c>
      <c r="B137" s="19">
        <f>B129</f>
        <v>140263.63649</v>
      </c>
      <c r="C137" s="20"/>
      <c r="D137" s="19">
        <f>D129</f>
        <v>140263.63649</v>
      </c>
      <c r="E137" s="19">
        <f>E129</f>
        <v>140263.63649</v>
      </c>
      <c r="F137" s="19">
        <f>F129</f>
        <v>99900.000090000001</v>
      </c>
      <c r="G137" s="19"/>
    </row>
    <row r="138" spans="1:7" s="20" customFormat="1" ht="15" x14ac:dyDescent="0.25">
      <c r="A138" s="18" t="s">
        <v>32</v>
      </c>
      <c r="B138" s="19"/>
      <c r="D138" s="19"/>
      <c r="E138" s="19"/>
      <c r="F138" s="19"/>
      <c r="G138" s="19"/>
    </row>
    <row r="139" spans="1:7" s="24" customFormat="1" ht="14.25" x14ac:dyDescent="0.25">
      <c r="A139" s="22" t="s">
        <v>19</v>
      </c>
      <c r="B139" s="23"/>
      <c r="D139" s="23">
        <v>20181.820200000002</v>
      </c>
      <c r="E139" s="23" t="s">
        <v>22</v>
      </c>
      <c r="F139" s="23" t="s">
        <v>22</v>
      </c>
      <c r="G139" s="23"/>
    </row>
    <row r="140" spans="1:7" s="24" customFormat="1" ht="14.25" x14ac:dyDescent="0.25">
      <c r="A140" s="22" t="s">
        <v>23</v>
      </c>
      <c r="B140" s="23"/>
      <c r="D140" s="23">
        <v>30272.730300000003</v>
      </c>
      <c r="E140" s="23" t="s">
        <v>22</v>
      </c>
      <c r="F140" s="23" t="s">
        <v>22</v>
      </c>
      <c r="G140" s="23"/>
    </row>
    <row r="141" spans="1:7" s="24" customFormat="1" ht="14.25" x14ac:dyDescent="0.25">
      <c r="A141" s="22" t="s">
        <v>24</v>
      </c>
      <c r="B141" s="23"/>
      <c r="D141" s="23">
        <v>50454.550500000005</v>
      </c>
      <c r="E141" s="23">
        <v>50454.550500000005</v>
      </c>
      <c r="F141" s="23">
        <v>50454.550500000005</v>
      </c>
      <c r="G141" s="23"/>
    </row>
    <row r="142" spans="1:7" ht="15" x14ac:dyDescent="0.25">
      <c r="A142" s="27" t="s">
        <v>34</v>
      </c>
      <c r="B142" s="28"/>
      <c r="C142" s="20"/>
      <c r="D142" s="28">
        <v>302727.19200000004</v>
      </c>
      <c r="E142" s="28">
        <v>302727.19200000004</v>
      </c>
      <c r="F142" s="43">
        <v>302727.19200000004</v>
      </c>
      <c r="G142" s="28"/>
    </row>
    <row r="143" spans="1:7" ht="15" x14ac:dyDescent="0.25">
      <c r="A143" s="29" t="s">
        <v>36</v>
      </c>
      <c r="B143" s="30"/>
      <c r="D143" s="30"/>
      <c r="E143" s="30"/>
      <c r="F143" s="30"/>
      <c r="G143" s="30"/>
    </row>
    <row r="144" spans="1:7" ht="14.25" x14ac:dyDescent="0.25">
      <c r="A144" s="16" t="s">
        <v>37</v>
      </c>
      <c r="B144" s="17">
        <v>99500</v>
      </c>
      <c r="D144" s="17">
        <f>50000*100.909091%</f>
        <v>50454.5455</v>
      </c>
      <c r="E144" s="17">
        <f>50000*100.909091%</f>
        <v>50454.5455</v>
      </c>
      <c r="F144" s="17">
        <f>50000*100.909091%</f>
        <v>50454.5455</v>
      </c>
      <c r="G144" s="17"/>
    </row>
    <row r="145" spans="1:12" ht="15" x14ac:dyDescent="0.25">
      <c r="A145" s="18" t="s">
        <v>38</v>
      </c>
      <c r="B145" s="19">
        <v>300000</v>
      </c>
      <c r="C145" s="20"/>
      <c r="D145" s="19">
        <f>300000*100.909091%</f>
        <v>302727.27300000004</v>
      </c>
      <c r="E145" s="19">
        <f>300000*100.909091%</f>
        <v>302727.27300000004</v>
      </c>
      <c r="F145" s="19">
        <f>300000*100.909091%</f>
        <v>302727.27300000004</v>
      </c>
      <c r="G145" s="19"/>
    </row>
    <row r="146" spans="1:12" ht="15" x14ac:dyDescent="0.25">
      <c r="A146" s="18" t="s">
        <v>39</v>
      </c>
      <c r="B146" s="17"/>
      <c r="D146" s="23" t="s">
        <v>22</v>
      </c>
      <c r="E146" s="23" t="s">
        <v>22</v>
      </c>
      <c r="F146" s="23" t="s">
        <v>22</v>
      </c>
      <c r="G146" s="17"/>
    </row>
    <row r="147" spans="1:12" s="6" customFormat="1" ht="14.25" x14ac:dyDescent="0.25">
      <c r="A147" s="25" t="s">
        <v>40</v>
      </c>
      <c r="B147" s="26"/>
      <c r="D147" s="26"/>
      <c r="E147" s="26"/>
      <c r="F147" s="26"/>
      <c r="G147" s="26"/>
    </row>
    <row r="148" spans="1:12" s="6" customFormat="1" ht="14.25" x14ac:dyDescent="0.25">
      <c r="A148" s="25" t="s">
        <v>41</v>
      </c>
      <c r="B148" s="26"/>
      <c r="D148" s="26"/>
      <c r="E148" s="26"/>
      <c r="F148" s="26"/>
      <c r="G148" s="26"/>
    </row>
    <row r="149" spans="1:12" ht="14.25" x14ac:dyDescent="0.25">
      <c r="A149" s="16" t="s">
        <v>31</v>
      </c>
      <c r="B149" s="17">
        <v>99000</v>
      </c>
      <c r="D149" s="17">
        <f>D144</f>
        <v>50454.5455</v>
      </c>
      <c r="E149" s="17">
        <f>E144</f>
        <v>50454.5455</v>
      </c>
      <c r="F149" s="17">
        <f>F144</f>
        <v>50454.5455</v>
      </c>
      <c r="G149" s="17"/>
    </row>
    <row r="150" spans="1:12" ht="14.25" x14ac:dyDescent="0.25">
      <c r="A150" s="16" t="s">
        <v>42</v>
      </c>
      <c r="B150" s="17"/>
      <c r="D150" s="23"/>
      <c r="E150" s="23"/>
      <c r="F150" s="23"/>
      <c r="G150" s="17"/>
    </row>
    <row r="151" spans="1:12" s="24" customFormat="1" ht="14.25" x14ac:dyDescent="0.25">
      <c r="A151" s="22" t="s">
        <v>43</v>
      </c>
      <c r="B151" s="23"/>
      <c r="D151" s="23" t="s">
        <v>22</v>
      </c>
      <c r="E151" s="23" t="s">
        <v>22</v>
      </c>
      <c r="F151" s="23" t="s">
        <v>22</v>
      </c>
      <c r="G151" s="23"/>
    </row>
    <row r="152" spans="1:12" s="24" customFormat="1" ht="14.25" x14ac:dyDescent="0.25">
      <c r="A152" s="22" t="s">
        <v>44</v>
      </c>
      <c r="B152" s="23"/>
      <c r="D152" s="23" t="s">
        <v>22</v>
      </c>
      <c r="E152" s="23" t="s">
        <v>22</v>
      </c>
      <c r="F152" s="23" t="s">
        <v>22</v>
      </c>
      <c r="G152" s="23"/>
    </row>
    <row r="153" spans="1:12" s="24" customFormat="1" ht="14.25" x14ac:dyDescent="0.25">
      <c r="A153" s="22" t="s">
        <v>45</v>
      </c>
      <c r="B153" s="23"/>
      <c r="D153" s="23">
        <v>50454.550500000005</v>
      </c>
      <c r="E153" s="23">
        <v>50454.550500000005</v>
      </c>
      <c r="F153" s="23">
        <v>50454.550500000005</v>
      </c>
      <c r="G153" s="23"/>
    </row>
    <row r="155" spans="1:12" ht="15" x14ac:dyDescent="0.25">
      <c r="B155" s="7" t="s">
        <v>1</v>
      </c>
      <c r="D155" s="96" t="s">
        <v>2</v>
      </c>
      <c r="E155" s="97"/>
      <c r="F155" s="98"/>
      <c r="G155" s="50" t="s">
        <v>72</v>
      </c>
    </row>
    <row r="156" spans="1:12" ht="15" x14ac:dyDescent="0.25">
      <c r="A156" s="9" t="s">
        <v>3</v>
      </c>
      <c r="B156" s="10" t="s">
        <v>116</v>
      </c>
      <c r="D156" s="10" t="s">
        <v>5</v>
      </c>
      <c r="E156" s="10" t="s">
        <v>6</v>
      </c>
      <c r="F156" s="10" t="s">
        <v>7</v>
      </c>
      <c r="G156" s="11" t="s">
        <v>101</v>
      </c>
    </row>
    <row r="157" spans="1:12" ht="15" x14ac:dyDescent="0.25">
      <c r="A157" s="12" t="s">
        <v>9</v>
      </c>
      <c r="B157" s="13"/>
      <c r="D157" s="99" t="s">
        <v>59</v>
      </c>
      <c r="E157" s="100"/>
      <c r="F157" s="37" t="s">
        <v>74</v>
      </c>
      <c r="G157" s="13"/>
      <c r="L157" s="40"/>
    </row>
    <row r="158" spans="1:12" ht="15" x14ac:dyDescent="0.25">
      <c r="A158" s="14" t="s">
        <v>11</v>
      </c>
      <c r="B158" s="15"/>
      <c r="D158" s="15" t="s">
        <v>75</v>
      </c>
      <c r="E158" s="15" t="s">
        <v>117</v>
      </c>
      <c r="F158" s="15" t="s">
        <v>86</v>
      </c>
      <c r="G158" s="15" t="s">
        <v>75</v>
      </c>
    </row>
    <row r="159" spans="1:12" ht="14.25" x14ac:dyDescent="0.25">
      <c r="A159" s="16" t="s">
        <v>16</v>
      </c>
      <c r="B159" s="17">
        <v>99900.000090000001</v>
      </c>
      <c r="D159" s="17">
        <f>99000*100.909091%</f>
        <v>99900.000090000001</v>
      </c>
      <c r="E159" s="17">
        <f>99000*100.909091%</f>
        <v>99900.000090000001</v>
      </c>
      <c r="F159" s="17">
        <f>99000*100.909091%</f>
        <v>99900.000090000001</v>
      </c>
      <c r="G159" s="17">
        <f>99000*100.909091%</f>
        <v>99900.000090000001</v>
      </c>
    </row>
    <row r="160" spans="1:12" ht="15" x14ac:dyDescent="0.25">
      <c r="A160" s="18" t="s">
        <v>17</v>
      </c>
      <c r="B160" s="19">
        <v>602427.27327000001</v>
      </c>
      <c r="C160" s="20"/>
      <c r="D160" s="19">
        <f>597000*100.909091%</f>
        <v>602427.27327000001</v>
      </c>
      <c r="E160" s="19">
        <f>297000*100.909091%</f>
        <v>299700.00027000002</v>
      </c>
      <c r="F160" s="19">
        <f>420000*100.909091%</f>
        <v>423818.18220000004</v>
      </c>
      <c r="G160" s="19">
        <f>597000*100.909091%</f>
        <v>602427.27327000001</v>
      </c>
    </row>
    <row r="161" spans="1:7" ht="15" x14ac:dyDescent="0.25">
      <c r="A161" s="18" t="s">
        <v>18</v>
      </c>
      <c r="B161" s="19"/>
      <c r="C161" s="20"/>
      <c r="D161" s="19"/>
      <c r="E161" s="19"/>
      <c r="F161" s="19"/>
      <c r="G161" s="19"/>
    </row>
    <row r="162" spans="1:7" s="24" customFormat="1" ht="14.25" x14ac:dyDescent="0.25">
      <c r="A162" s="22" t="s">
        <v>19</v>
      </c>
      <c r="B162" s="23"/>
      <c r="D162" s="23" t="s">
        <v>51</v>
      </c>
      <c r="E162" s="23" t="s">
        <v>51</v>
      </c>
      <c r="F162" s="23" t="s">
        <v>51</v>
      </c>
      <c r="G162" s="23" t="s">
        <v>51</v>
      </c>
    </row>
    <row r="163" spans="1:7" s="24" customFormat="1" ht="14.25" x14ac:dyDescent="0.25">
      <c r="A163" s="22" t="s">
        <v>23</v>
      </c>
      <c r="B163" s="23"/>
      <c r="D163" s="23" t="s">
        <v>51</v>
      </c>
      <c r="E163" s="23" t="s">
        <v>51</v>
      </c>
      <c r="F163" s="23" t="s">
        <v>51</v>
      </c>
      <c r="G163" s="23" t="s">
        <v>51</v>
      </c>
    </row>
    <row r="164" spans="1:7" s="24" customFormat="1" ht="14.25" x14ac:dyDescent="0.25">
      <c r="A164" s="22" t="s">
        <v>24</v>
      </c>
      <c r="B164" s="23"/>
      <c r="D164" s="23">
        <v>181636.3596</v>
      </c>
      <c r="E164" s="23">
        <v>181636.3596</v>
      </c>
      <c r="F164" s="23">
        <v>252272.73030000002</v>
      </c>
      <c r="G164" s="23">
        <v>181636.3596</v>
      </c>
    </row>
    <row r="165" spans="1:7" ht="14.25" x14ac:dyDescent="0.25">
      <c r="A165" s="25" t="s">
        <v>26</v>
      </c>
      <c r="B165" s="26"/>
      <c r="C165" s="6"/>
      <c r="D165" s="26"/>
      <c r="E165" s="26"/>
      <c r="F165" s="26"/>
      <c r="G165" s="26"/>
    </row>
    <row r="166" spans="1:7" ht="14.25" x14ac:dyDescent="0.25">
      <c r="A166" s="25" t="s">
        <v>29</v>
      </c>
      <c r="B166" s="26"/>
      <c r="C166" s="6"/>
      <c r="D166" s="26" t="s">
        <v>78</v>
      </c>
      <c r="E166" s="26" t="s">
        <v>118</v>
      </c>
      <c r="F166" s="26"/>
      <c r="G166" s="26" t="s">
        <v>104</v>
      </c>
    </row>
    <row r="167" spans="1:7" ht="15" x14ac:dyDescent="0.25">
      <c r="A167" s="18" t="s">
        <v>31</v>
      </c>
      <c r="B167" s="19">
        <v>99000</v>
      </c>
      <c r="C167" s="20"/>
      <c r="D167" s="19">
        <f>D159</f>
        <v>99900.000090000001</v>
      </c>
      <c r="E167" s="19">
        <f>E159</f>
        <v>99900.000090000001</v>
      </c>
      <c r="F167" s="19">
        <f>F159</f>
        <v>99900.000090000001</v>
      </c>
      <c r="G167" s="19">
        <f>G159</f>
        <v>99900.000090000001</v>
      </c>
    </row>
    <row r="168" spans="1:7" s="20" customFormat="1" ht="15" x14ac:dyDescent="0.25">
      <c r="A168" s="18" t="s">
        <v>32</v>
      </c>
      <c r="B168" s="19"/>
      <c r="D168" s="19"/>
      <c r="E168" s="19"/>
      <c r="F168" s="19"/>
      <c r="G168" s="19"/>
    </row>
    <row r="169" spans="1:7" s="24" customFormat="1" ht="14.25" x14ac:dyDescent="0.25">
      <c r="A169" s="22" t="s">
        <v>19</v>
      </c>
      <c r="B169" s="23"/>
      <c r="D169" s="23" t="s">
        <v>22</v>
      </c>
      <c r="E169" s="23" t="s">
        <v>22</v>
      </c>
      <c r="F169" s="23" t="s">
        <v>33</v>
      </c>
      <c r="G169" s="23" t="s">
        <v>22</v>
      </c>
    </row>
    <row r="170" spans="1:7" s="24" customFormat="1" ht="14.25" x14ac:dyDescent="0.25">
      <c r="A170" s="22" t="s">
        <v>23</v>
      </c>
      <c r="B170" s="23"/>
      <c r="D170" s="23" t="s">
        <v>22</v>
      </c>
      <c r="E170" s="23" t="s">
        <v>22</v>
      </c>
      <c r="F170" s="23" t="s">
        <v>33</v>
      </c>
      <c r="G170" s="23" t="s">
        <v>22</v>
      </c>
    </row>
    <row r="171" spans="1:7" s="24" customFormat="1" ht="14.25" x14ac:dyDescent="0.25">
      <c r="A171" s="22" t="s">
        <v>24</v>
      </c>
      <c r="B171" s="23"/>
      <c r="D171" s="23">
        <v>50454.550500000005</v>
      </c>
      <c r="E171" s="23">
        <v>50454.550500000005</v>
      </c>
      <c r="F171" s="23">
        <v>50454.550500000005</v>
      </c>
      <c r="G171" s="23">
        <v>50454.550500000005</v>
      </c>
    </row>
    <row r="172" spans="1:7" ht="15" x14ac:dyDescent="0.25">
      <c r="A172" s="27" t="s">
        <v>34</v>
      </c>
      <c r="B172" s="28"/>
      <c r="C172" s="20"/>
      <c r="D172" s="28">
        <v>302727.19200000004</v>
      </c>
      <c r="E172" s="28">
        <v>302727.19200000004</v>
      </c>
      <c r="F172" s="28">
        <v>302727.19200000004</v>
      </c>
      <c r="G172" s="28">
        <v>302727.19200000004</v>
      </c>
    </row>
    <row r="173" spans="1:7" ht="15" x14ac:dyDescent="0.25">
      <c r="A173" s="29" t="s">
        <v>36</v>
      </c>
      <c r="B173" s="30"/>
      <c r="D173" s="30"/>
      <c r="E173" s="30"/>
      <c r="F173" s="30"/>
      <c r="G173" s="30"/>
    </row>
    <row r="174" spans="1:7" ht="14.25" x14ac:dyDescent="0.25">
      <c r="A174" s="16" t="s">
        <v>37</v>
      </c>
      <c r="B174" s="17">
        <v>99000</v>
      </c>
      <c r="D174" s="17">
        <f>50000*100.909091%</f>
        <v>50454.5455</v>
      </c>
      <c r="E174" s="17">
        <f>50000*100.909091%</f>
        <v>50454.5455</v>
      </c>
      <c r="F174" s="17">
        <f>40000*100.909091%</f>
        <v>40363.636400000003</v>
      </c>
      <c r="G174" s="17">
        <f>50000*100.909091%</f>
        <v>50454.5455</v>
      </c>
    </row>
    <row r="175" spans="1:7" ht="15" x14ac:dyDescent="0.25">
      <c r="A175" s="18" t="s">
        <v>38</v>
      </c>
      <c r="B175" s="19">
        <v>300000</v>
      </c>
      <c r="C175" s="20"/>
      <c r="D175" s="19">
        <f>300000*100.909091%</f>
        <v>302727.27300000004</v>
      </c>
      <c r="E175" s="19">
        <f>150000*100.909091%</f>
        <v>151363.63650000002</v>
      </c>
      <c r="F175" s="19">
        <f>200000*100.909091%</f>
        <v>201818.182</v>
      </c>
      <c r="G175" s="19">
        <f>300000*100.909091%</f>
        <v>302727.27300000004</v>
      </c>
    </row>
    <row r="176" spans="1:7" ht="15" x14ac:dyDescent="0.25">
      <c r="A176" s="18" t="s">
        <v>39</v>
      </c>
      <c r="B176" s="17"/>
      <c r="D176" s="23" t="s">
        <v>22</v>
      </c>
      <c r="E176" s="23" t="s">
        <v>22</v>
      </c>
      <c r="F176" s="23" t="s">
        <v>22</v>
      </c>
      <c r="G176" s="17" t="s">
        <v>22</v>
      </c>
    </row>
    <row r="177" spans="1:7" ht="14.25" x14ac:dyDescent="0.25">
      <c r="A177" s="25" t="s">
        <v>40</v>
      </c>
      <c r="B177" s="26"/>
      <c r="C177" s="6"/>
      <c r="D177" s="26"/>
      <c r="E177" s="26"/>
      <c r="F177" s="26"/>
      <c r="G177" s="26"/>
    </row>
    <row r="178" spans="1:7" ht="14.25" x14ac:dyDescent="0.25">
      <c r="A178" s="25" t="s">
        <v>41</v>
      </c>
      <c r="B178" s="26"/>
      <c r="C178" s="6"/>
      <c r="D178" s="26"/>
      <c r="E178" s="26"/>
      <c r="F178" s="26"/>
      <c r="G178" s="26" t="s">
        <v>78</v>
      </c>
    </row>
    <row r="179" spans="1:7" ht="14.25" x14ac:dyDescent="0.25">
      <c r="A179" s="16" t="s">
        <v>31</v>
      </c>
      <c r="B179" s="17">
        <f>B174</f>
        <v>99000</v>
      </c>
      <c r="D179" s="17">
        <f>D174</f>
        <v>50454.5455</v>
      </c>
      <c r="E179" s="17">
        <f>E174</f>
        <v>50454.5455</v>
      </c>
      <c r="F179" s="17">
        <f>F174</f>
        <v>40363.636400000003</v>
      </c>
      <c r="G179" s="17">
        <f>G174</f>
        <v>50454.5455</v>
      </c>
    </row>
    <row r="180" spans="1:7" ht="14.25" x14ac:dyDescent="0.25">
      <c r="A180" s="16" t="s">
        <v>42</v>
      </c>
      <c r="B180" s="17"/>
      <c r="D180" s="23"/>
      <c r="E180" s="23"/>
      <c r="F180" s="23"/>
      <c r="G180" s="17"/>
    </row>
    <row r="181" spans="1:7" s="24" customFormat="1" ht="14.25" x14ac:dyDescent="0.25">
      <c r="A181" s="22" t="s">
        <v>43</v>
      </c>
      <c r="B181" s="23"/>
      <c r="D181" s="23" t="s">
        <v>22</v>
      </c>
      <c r="E181" s="23" t="s">
        <v>22</v>
      </c>
      <c r="F181" s="23" t="s">
        <v>22</v>
      </c>
      <c r="G181" s="23" t="s">
        <v>22</v>
      </c>
    </row>
    <row r="182" spans="1:7" s="24" customFormat="1" ht="14.25" x14ac:dyDescent="0.25">
      <c r="A182" s="22" t="s">
        <v>44</v>
      </c>
      <c r="B182" s="23"/>
      <c r="D182" s="23" t="s">
        <v>22</v>
      </c>
      <c r="E182" s="23" t="s">
        <v>22</v>
      </c>
      <c r="F182" s="23" t="s">
        <v>22</v>
      </c>
      <c r="G182" s="23" t="s">
        <v>22</v>
      </c>
    </row>
    <row r="183" spans="1:7" s="24" customFormat="1" ht="14.25" x14ac:dyDescent="0.25">
      <c r="A183" s="22" t="s">
        <v>45</v>
      </c>
      <c r="B183" s="23"/>
      <c r="D183" s="23">
        <v>50454.550500000005</v>
      </c>
      <c r="E183" s="23">
        <v>50454.550500000005</v>
      </c>
      <c r="F183" s="23">
        <v>50454.550500000005</v>
      </c>
      <c r="G183" s="23">
        <v>50454.550500000005</v>
      </c>
    </row>
    <row r="185" spans="1:7" ht="15" x14ac:dyDescent="0.25">
      <c r="B185" s="7" t="s">
        <v>1</v>
      </c>
      <c r="D185" s="96" t="s">
        <v>2</v>
      </c>
      <c r="E185" s="97"/>
      <c r="F185" s="98"/>
      <c r="G185" s="50" t="s">
        <v>72</v>
      </c>
    </row>
    <row r="186" spans="1:7" ht="15" x14ac:dyDescent="0.25">
      <c r="A186" s="9" t="s">
        <v>3</v>
      </c>
      <c r="B186" s="10" t="s">
        <v>119</v>
      </c>
      <c r="D186" s="10" t="s">
        <v>5</v>
      </c>
      <c r="E186" s="10" t="s">
        <v>6</v>
      </c>
      <c r="F186" s="10" t="s">
        <v>7</v>
      </c>
      <c r="G186" s="11" t="s">
        <v>101</v>
      </c>
    </row>
    <row r="187" spans="1:7" ht="15" x14ac:dyDescent="0.25">
      <c r="A187" s="12" t="s">
        <v>9</v>
      </c>
      <c r="B187" s="13"/>
      <c r="D187" s="99" t="s">
        <v>59</v>
      </c>
      <c r="E187" s="100"/>
      <c r="F187" s="48" t="s">
        <v>120</v>
      </c>
      <c r="G187" s="13"/>
    </row>
    <row r="188" spans="1:7" ht="15" x14ac:dyDescent="0.25">
      <c r="A188" s="14" t="s">
        <v>11</v>
      </c>
      <c r="B188" s="15"/>
      <c r="D188" s="15" t="s">
        <v>84</v>
      </c>
      <c r="E188" s="15" t="s">
        <v>121</v>
      </c>
      <c r="F188" s="15" t="s">
        <v>122</v>
      </c>
      <c r="G188" s="15"/>
    </row>
    <row r="189" spans="1:7" ht="14.25" x14ac:dyDescent="0.25">
      <c r="A189" s="16" t="s">
        <v>16</v>
      </c>
      <c r="B189" s="17">
        <v>99900.000090000001</v>
      </c>
      <c r="D189" s="17">
        <f>99000*100.909091%</f>
        <v>99900.000090000001</v>
      </c>
      <c r="E189" s="17">
        <f>99000*100.909091%</f>
        <v>99900.000090000001</v>
      </c>
      <c r="F189" s="17">
        <f>69000*100.909091%</f>
        <v>69627.272790000003</v>
      </c>
      <c r="G189" s="17"/>
    </row>
    <row r="190" spans="1:7" ht="15" x14ac:dyDescent="0.25">
      <c r="A190" s="18" t="s">
        <v>17</v>
      </c>
      <c r="B190" s="19">
        <v>499500.00045000005</v>
      </c>
      <c r="C190" s="20"/>
      <c r="D190" s="19">
        <f>495000*100.909091%</f>
        <v>499500.00045000005</v>
      </c>
      <c r="E190" s="19">
        <f>(495000*100.909091%)*70%</f>
        <v>349650.00031500001</v>
      </c>
      <c r="F190" s="19">
        <f>345000*100.909091%</f>
        <v>348136.36395000003</v>
      </c>
      <c r="G190" s="19"/>
    </row>
    <row r="191" spans="1:7" ht="15" x14ac:dyDescent="0.25">
      <c r="A191" s="18" t="s">
        <v>18</v>
      </c>
      <c r="B191" s="19"/>
      <c r="C191" s="20"/>
      <c r="D191" s="19"/>
      <c r="E191" s="19"/>
      <c r="F191" s="19"/>
      <c r="G191" s="19"/>
    </row>
    <row r="192" spans="1:7" s="24" customFormat="1" ht="14.25" x14ac:dyDescent="0.25">
      <c r="A192" s="22" t="s">
        <v>19</v>
      </c>
      <c r="B192" s="23"/>
      <c r="D192" s="23">
        <v>100909.08990000001</v>
      </c>
      <c r="E192" s="23" t="s">
        <v>51</v>
      </c>
      <c r="F192" s="23" t="s">
        <v>22</v>
      </c>
      <c r="G192" s="23"/>
    </row>
    <row r="193" spans="1:7" s="24" customFormat="1" ht="14.25" x14ac:dyDescent="0.25">
      <c r="A193" s="22" t="s">
        <v>23</v>
      </c>
      <c r="B193" s="23"/>
      <c r="D193" s="23">
        <v>151363.64040000003</v>
      </c>
      <c r="E193" s="23" t="s">
        <v>51</v>
      </c>
      <c r="F193" s="23" t="s">
        <v>22</v>
      </c>
      <c r="G193" s="23"/>
    </row>
    <row r="194" spans="1:7" s="24" customFormat="1" ht="14.25" x14ac:dyDescent="0.25">
      <c r="A194" s="22" t="s">
        <v>24</v>
      </c>
      <c r="B194" s="23"/>
      <c r="D194" s="23">
        <v>181636.3596</v>
      </c>
      <c r="E194" s="23">
        <v>181636.3596</v>
      </c>
      <c r="F194" s="23">
        <v>181636.3596</v>
      </c>
      <c r="G194" s="23"/>
    </row>
    <row r="195" spans="1:7" ht="14.25" x14ac:dyDescent="0.25">
      <c r="A195" s="25" t="s">
        <v>26</v>
      </c>
      <c r="B195" s="26"/>
      <c r="C195" s="6"/>
      <c r="D195" s="26" t="s">
        <v>52</v>
      </c>
      <c r="E195" s="26"/>
      <c r="F195" s="26" t="s">
        <v>52</v>
      </c>
      <c r="G195" s="26"/>
    </row>
    <row r="196" spans="1:7" ht="14.25" x14ac:dyDescent="0.25">
      <c r="A196" s="25" t="s">
        <v>29</v>
      </c>
      <c r="B196" s="26"/>
      <c r="C196" s="6"/>
      <c r="D196" s="26" t="s">
        <v>54</v>
      </c>
      <c r="E196" s="39" t="s">
        <v>78</v>
      </c>
      <c r="F196" s="53" t="s">
        <v>123</v>
      </c>
      <c r="G196" s="26"/>
    </row>
    <row r="197" spans="1:7" ht="15" x14ac:dyDescent="0.25">
      <c r="A197" s="18" t="s">
        <v>31</v>
      </c>
      <c r="B197" s="19">
        <v>99000</v>
      </c>
      <c r="C197" s="20"/>
      <c r="D197" s="19">
        <f>D189</f>
        <v>99900.000090000001</v>
      </c>
      <c r="E197" s="19">
        <f>E189</f>
        <v>99900.000090000001</v>
      </c>
      <c r="F197" s="19">
        <f>F189</f>
        <v>69627.272790000003</v>
      </c>
      <c r="G197" s="19"/>
    </row>
    <row r="198" spans="1:7" s="20" customFormat="1" ht="15" x14ac:dyDescent="0.25">
      <c r="A198" s="18" t="s">
        <v>32</v>
      </c>
      <c r="B198" s="19"/>
      <c r="D198" s="19"/>
      <c r="E198" s="19"/>
      <c r="F198" s="19"/>
      <c r="G198" s="19"/>
    </row>
    <row r="199" spans="1:7" s="24" customFormat="1" ht="14.25" x14ac:dyDescent="0.25">
      <c r="A199" s="22" t="s">
        <v>19</v>
      </c>
      <c r="B199" s="23"/>
      <c r="D199" s="23">
        <v>20181.820200000002</v>
      </c>
      <c r="E199" s="23" t="s">
        <v>22</v>
      </c>
      <c r="F199" s="23">
        <v>0</v>
      </c>
      <c r="G199" s="23"/>
    </row>
    <row r="200" spans="1:7" s="24" customFormat="1" ht="14.25" x14ac:dyDescent="0.25">
      <c r="A200" s="22" t="s">
        <v>23</v>
      </c>
      <c r="B200" s="23"/>
      <c r="D200" s="23">
        <v>30272.730300000003</v>
      </c>
      <c r="E200" s="23" t="s">
        <v>22</v>
      </c>
      <c r="F200" s="23">
        <v>0</v>
      </c>
      <c r="G200" s="23"/>
    </row>
    <row r="201" spans="1:7" s="24" customFormat="1" ht="14.25" x14ac:dyDescent="0.25">
      <c r="A201" s="22" t="s">
        <v>24</v>
      </c>
      <c r="B201" s="23"/>
      <c r="D201" s="23">
        <v>50454.550500000005</v>
      </c>
      <c r="E201" s="23">
        <v>50454.550500000005</v>
      </c>
      <c r="F201" s="23">
        <v>50454.550500000005</v>
      </c>
      <c r="G201" s="23"/>
    </row>
    <row r="202" spans="1:7" ht="15" x14ac:dyDescent="0.25">
      <c r="A202" s="27" t="s">
        <v>34</v>
      </c>
      <c r="B202" s="28"/>
      <c r="C202" s="20"/>
      <c r="D202" s="28">
        <v>302727.19200000004</v>
      </c>
      <c r="E202" s="28">
        <v>302727.19200000004</v>
      </c>
      <c r="F202" s="28">
        <v>605454.55050000001</v>
      </c>
      <c r="G202" s="28"/>
    </row>
    <row r="203" spans="1:7" ht="15" x14ac:dyDescent="0.25">
      <c r="A203" s="29" t="s">
        <v>36</v>
      </c>
      <c r="B203" s="30"/>
      <c r="D203" s="30"/>
      <c r="E203" s="30"/>
      <c r="F203" s="31"/>
      <c r="G203" s="30"/>
    </row>
    <row r="204" spans="1:7" ht="14.25" x14ac:dyDescent="0.25">
      <c r="A204" s="16" t="s">
        <v>37</v>
      </c>
      <c r="B204" s="17">
        <v>99000</v>
      </c>
      <c r="D204" s="17">
        <f>99000*100.909091%</f>
        <v>99900.000090000001</v>
      </c>
      <c r="E204" s="17">
        <f>99000*100.909091%</f>
        <v>99900.000090000001</v>
      </c>
      <c r="F204" s="17">
        <f>34500*100.909091%</f>
        <v>34813.636395000001</v>
      </c>
      <c r="G204" s="17"/>
    </row>
    <row r="205" spans="1:7" ht="15" x14ac:dyDescent="0.25">
      <c r="A205" s="18" t="s">
        <v>38</v>
      </c>
      <c r="B205" s="19">
        <v>300000</v>
      </c>
      <c r="C205" s="20"/>
      <c r="D205" s="19">
        <f>300000*100.909091%</f>
        <v>302727.27300000004</v>
      </c>
      <c r="E205" s="19">
        <f>300000*100.909091%</f>
        <v>302727.27300000004</v>
      </c>
      <c r="F205" s="19">
        <f>F204*6</f>
        <v>208881.81836999999</v>
      </c>
      <c r="G205" s="19"/>
    </row>
    <row r="206" spans="1:7" ht="15" x14ac:dyDescent="0.25">
      <c r="A206" s="18" t="s">
        <v>39</v>
      </c>
      <c r="B206" s="17"/>
      <c r="D206" s="23" t="s">
        <v>22</v>
      </c>
      <c r="E206" s="23" t="s">
        <v>22</v>
      </c>
      <c r="F206" s="23" t="s">
        <v>22</v>
      </c>
      <c r="G206" s="17"/>
    </row>
    <row r="207" spans="1:7" ht="14.25" x14ac:dyDescent="0.25">
      <c r="A207" s="25" t="s">
        <v>40</v>
      </c>
      <c r="B207" s="26"/>
      <c r="C207" s="6"/>
      <c r="D207" s="26"/>
      <c r="E207" s="26"/>
      <c r="F207" s="26"/>
      <c r="G207" s="26"/>
    </row>
    <row r="208" spans="1:7" ht="14.25" x14ac:dyDescent="0.25">
      <c r="A208" s="25" t="s">
        <v>41</v>
      </c>
      <c r="B208" s="26"/>
      <c r="C208" s="6"/>
      <c r="D208" s="26"/>
      <c r="E208" s="26"/>
      <c r="F208" s="26"/>
      <c r="G208" s="26"/>
    </row>
    <row r="209" spans="1:7" ht="14.25" x14ac:dyDescent="0.25">
      <c r="A209" s="16" t="s">
        <v>31</v>
      </c>
      <c r="B209" s="17">
        <f>B204</f>
        <v>99000</v>
      </c>
      <c r="D209" s="17">
        <f>D204</f>
        <v>99900.000090000001</v>
      </c>
      <c r="E209" s="17">
        <f>E204</f>
        <v>99900.000090000001</v>
      </c>
      <c r="F209" s="17">
        <f>F204</f>
        <v>34813.636395000001</v>
      </c>
      <c r="G209" s="17"/>
    </row>
    <row r="210" spans="1:7" ht="14.25" x14ac:dyDescent="0.25">
      <c r="A210" s="16" t="s">
        <v>42</v>
      </c>
      <c r="B210" s="17"/>
      <c r="D210" s="23"/>
      <c r="E210" s="23"/>
      <c r="F210" s="23"/>
      <c r="G210" s="17"/>
    </row>
    <row r="211" spans="1:7" s="24" customFormat="1" ht="14.25" x14ac:dyDescent="0.25">
      <c r="A211" s="22" t="s">
        <v>43</v>
      </c>
      <c r="B211" s="23"/>
      <c r="D211" s="23" t="s">
        <v>22</v>
      </c>
      <c r="E211" s="23" t="s">
        <v>22</v>
      </c>
      <c r="F211" s="23" t="s">
        <v>22</v>
      </c>
      <c r="G211" s="23"/>
    </row>
    <row r="212" spans="1:7" s="24" customFormat="1" ht="14.25" x14ac:dyDescent="0.25">
      <c r="A212" s="22" t="s">
        <v>44</v>
      </c>
      <c r="B212" s="23"/>
      <c r="D212" s="23" t="s">
        <v>22</v>
      </c>
      <c r="E212" s="23" t="s">
        <v>22</v>
      </c>
      <c r="F212" s="23" t="s">
        <v>22</v>
      </c>
      <c r="G212" s="23"/>
    </row>
    <row r="213" spans="1:7" s="24" customFormat="1" ht="14.25" x14ac:dyDescent="0.25">
      <c r="A213" s="22" t="s">
        <v>45</v>
      </c>
      <c r="B213" s="23"/>
      <c r="D213" s="23">
        <v>50454.550500000005</v>
      </c>
      <c r="E213" s="23">
        <v>50454.550500000005</v>
      </c>
      <c r="F213" s="23">
        <v>50454.550500000005</v>
      </c>
      <c r="G213" s="23"/>
    </row>
    <row r="215" spans="1:7" ht="15" x14ac:dyDescent="0.25">
      <c r="B215" s="7" t="s">
        <v>1</v>
      </c>
      <c r="D215" s="96" t="s">
        <v>2</v>
      </c>
      <c r="E215" s="97"/>
      <c r="F215" s="98"/>
      <c r="G215" s="50" t="s">
        <v>72</v>
      </c>
    </row>
    <row r="216" spans="1:7" ht="15" x14ac:dyDescent="0.25">
      <c r="A216" s="9" t="s">
        <v>3</v>
      </c>
      <c r="B216" s="10" t="s">
        <v>124</v>
      </c>
      <c r="D216" s="10" t="s">
        <v>5</v>
      </c>
      <c r="E216" s="10" t="s">
        <v>6</v>
      </c>
      <c r="F216" s="10" t="s">
        <v>7</v>
      </c>
      <c r="G216" s="11" t="s">
        <v>101</v>
      </c>
    </row>
    <row r="217" spans="1:7" ht="15" x14ac:dyDescent="0.25">
      <c r="A217" s="12" t="s">
        <v>9</v>
      </c>
      <c r="B217" s="13"/>
      <c r="D217" s="100" t="s">
        <v>74</v>
      </c>
      <c r="E217" s="101"/>
      <c r="F217" s="48" t="s">
        <v>120</v>
      </c>
      <c r="G217" s="13"/>
    </row>
    <row r="218" spans="1:7" ht="15" x14ac:dyDescent="0.25">
      <c r="A218" s="14" t="s">
        <v>11</v>
      </c>
      <c r="B218" s="15"/>
      <c r="D218" s="15" t="s">
        <v>86</v>
      </c>
      <c r="E218" s="15" t="s">
        <v>86</v>
      </c>
      <c r="F218" s="15" t="s">
        <v>122</v>
      </c>
      <c r="G218" s="15"/>
    </row>
    <row r="219" spans="1:7" ht="14.25" x14ac:dyDescent="0.25">
      <c r="A219" s="16" t="s">
        <v>16</v>
      </c>
      <c r="B219" s="17">
        <v>99900.000090000001</v>
      </c>
      <c r="D219" s="17">
        <f>99000*100.909091%</f>
        <v>99900.000090000001</v>
      </c>
      <c r="E219" s="17">
        <f>99000*100.909091%</f>
        <v>99900.000090000001</v>
      </c>
      <c r="F219" s="17">
        <f>69000*100.909091%</f>
        <v>69627.272790000003</v>
      </c>
      <c r="G219" s="17"/>
    </row>
    <row r="220" spans="1:7" ht="15" x14ac:dyDescent="0.25">
      <c r="A220" s="18" t="s">
        <v>17</v>
      </c>
      <c r="B220" s="19">
        <v>423818.18220000004</v>
      </c>
      <c r="C220" s="20"/>
      <c r="D220" s="19">
        <f>420000*100.909091%</f>
        <v>423818.18220000004</v>
      </c>
      <c r="E220" s="19">
        <f>420000*100.909091%</f>
        <v>423818.18220000004</v>
      </c>
      <c r="F220" s="19">
        <f>345000*100.909091%</f>
        <v>348136.36395000003</v>
      </c>
      <c r="G220" s="19"/>
    </row>
    <row r="221" spans="1:7" ht="15" x14ac:dyDescent="0.25">
      <c r="A221" s="18" t="s">
        <v>18</v>
      </c>
      <c r="B221" s="19"/>
      <c r="C221" s="20"/>
      <c r="D221" s="19"/>
      <c r="E221" s="19"/>
      <c r="F221" s="19"/>
      <c r="G221" s="19"/>
    </row>
    <row r="222" spans="1:7" s="24" customFormat="1" ht="14.25" x14ac:dyDescent="0.25">
      <c r="A222" s="22" t="s">
        <v>19</v>
      </c>
      <c r="B222" s="23"/>
      <c r="D222" s="23" t="s">
        <v>51</v>
      </c>
      <c r="E222" s="23" t="s">
        <v>51</v>
      </c>
      <c r="F222" s="23" t="s">
        <v>22</v>
      </c>
      <c r="G222" s="23"/>
    </row>
    <row r="223" spans="1:7" s="24" customFormat="1" ht="14.25" x14ac:dyDescent="0.25">
      <c r="A223" s="22" t="s">
        <v>23</v>
      </c>
      <c r="B223" s="23"/>
      <c r="D223" s="23" t="s">
        <v>51</v>
      </c>
      <c r="E223" s="23" t="s">
        <v>51</v>
      </c>
      <c r="F223" s="23" t="s">
        <v>22</v>
      </c>
      <c r="G223" s="23"/>
    </row>
    <row r="224" spans="1:7" s="24" customFormat="1" ht="14.25" x14ac:dyDescent="0.25">
      <c r="A224" s="22" t="s">
        <v>24</v>
      </c>
      <c r="B224" s="23"/>
      <c r="D224" s="23">
        <v>252272.73030000002</v>
      </c>
      <c r="E224" s="23">
        <v>252272.73030000002</v>
      </c>
      <c r="F224" s="23">
        <v>181636.3596</v>
      </c>
      <c r="G224" s="23"/>
    </row>
    <row r="225" spans="1:7" ht="14.25" x14ac:dyDescent="0.25">
      <c r="A225" s="25" t="s">
        <v>26</v>
      </c>
      <c r="B225" s="26"/>
      <c r="C225" s="6"/>
      <c r="D225" s="26"/>
      <c r="E225" s="26"/>
      <c r="F225" s="26" t="s">
        <v>52</v>
      </c>
      <c r="G225" s="26"/>
    </row>
    <row r="226" spans="1:7" ht="14.25" x14ac:dyDescent="0.25">
      <c r="A226" s="25" t="s">
        <v>29</v>
      </c>
      <c r="B226" s="26"/>
      <c r="C226" s="6"/>
      <c r="D226" s="26" t="s">
        <v>78</v>
      </c>
      <c r="E226" s="26" t="s">
        <v>54</v>
      </c>
      <c r="F226" s="53" t="s">
        <v>123</v>
      </c>
      <c r="G226" s="26"/>
    </row>
    <row r="227" spans="1:7" ht="15" x14ac:dyDescent="0.25">
      <c r="A227" s="18" t="s">
        <v>31</v>
      </c>
      <c r="B227" s="19">
        <f>B219</f>
        <v>99900.000090000001</v>
      </c>
      <c r="C227" s="20"/>
      <c r="D227" s="19">
        <f>D219</f>
        <v>99900.000090000001</v>
      </c>
      <c r="E227" s="19">
        <f>E219</f>
        <v>99900.000090000001</v>
      </c>
      <c r="F227" s="19">
        <f>F219</f>
        <v>69627.272790000003</v>
      </c>
      <c r="G227" s="19"/>
    </row>
    <row r="228" spans="1:7" s="20" customFormat="1" ht="15" x14ac:dyDescent="0.25">
      <c r="A228" s="18" t="s">
        <v>32</v>
      </c>
      <c r="B228" s="19"/>
      <c r="D228" s="19"/>
      <c r="E228" s="19"/>
      <c r="F228" s="19"/>
      <c r="G228" s="19"/>
    </row>
    <row r="229" spans="1:7" s="24" customFormat="1" ht="14.25" x14ac:dyDescent="0.25">
      <c r="A229" s="22" t="s">
        <v>19</v>
      </c>
      <c r="B229" s="23"/>
      <c r="D229" s="23" t="s">
        <v>33</v>
      </c>
      <c r="E229" s="23" t="s">
        <v>33</v>
      </c>
      <c r="F229" s="23">
        <v>0</v>
      </c>
      <c r="G229" s="23"/>
    </row>
    <row r="230" spans="1:7" s="24" customFormat="1" ht="14.25" x14ac:dyDescent="0.25">
      <c r="A230" s="22" t="s">
        <v>23</v>
      </c>
      <c r="B230" s="23"/>
      <c r="D230" s="23" t="s">
        <v>33</v>
      </c>
      <c r="E230" s="23" t="s">
        <v>33</v>
      </c>
      <c r="F230" s="23">
        <v>0</v>
      </c>
      <c r="G230" s="23"/>
    </row>
    <row r="231" spans="1:7" s="24" customFormat="1" ht="14.25" x14ac:dyDescent="0.25">
      <c r="A231" s="22" t="s">
        <v>24</v>
      </c>
      <c r="B231" s="23"/>
      <c r="D231" s="23">
        <v>50454.550500000005</v>
      </c>
      <c r="E231" s="23">
        <v>50454.550500000005</v>
      </c>
      <c r="F231" s="23">
        <v>50454.550500000005</v>
      </c>
      <c r="G231" s="23"/>
    </row>
    <row r="232" spans="1:7" ht="15" x14ac:dyDescent="0.25">
      <c r="A232" s="27" t="s">
        <v>34</v>
      </c>
      <c r="B232" s="28"/>
      <c r="C232" s="20"/>
      <c r="D232" s="28">
        <v>302727.19200000004</v>
      </c>
      <c r="E232" s="28">
        <v>302727.19200000004</v>
      </c>
      <c r="F232" s="28">
        <v>605454.55050000001</v>
      </c>
      <c r="G232" s="28"/>
    </row>
    <row r="233" spans="1:7" ht="15" x14ac:dyDescent="0.25">
      <c r="A233" s="29" t="s">
        <v>36</v>
      </c>
      <c r="B233" s="30"/>
      <c r="D233" s="30"/>
      <c r="E233" s="30"/>
      <c r="F233" s="31"/>
      <c r="G233" s="30"/>
    </row>
    <row r="234" spans="1:7" ht="14.25" x14ac:dyDescent="0.25">
      <c r="A234" s="16" t="s">
        <v>37</v>
      </c>
      <c r="B234" s="17">
        <v>40000</v>
      </c>
      <c r="D234" s="17">
        <f>40000*100.909091%</f>
        <v>40363.636400000003</v>
      </c>
      <c r="E234" s="17">
        <f>40000*100.909091%</f>
        <v>40363.636400000003</v>
      </c>
      <c r="F234" s="17">
        <f>34500*100.909091%</f>
        <v>34813.636395000001</v>
      </c>
      <c r="G234" s="17"/>
    </row>
    <row r="235" spans="1:7" ht="15" x14ac:dyDescent="0.25">
      <c r="A235" s="18" t="s">
        <v>38</v>
      </c>
      <c r="B235" s="19">
        <v>200000</v>
      </c>
      <c r="C235" s="20"/>
      <c r="D235" s="19">
        <f>200000*100.909091%</f>
        <v>201818.182</v>
      </c>
      <c r="E235" s="19">
        <f>200000*100.909091%</f>
        <v>201818.182</v>
      </c>
      <c r="F235" s="19">
        <v>207000</v>
      </c>
      <c r="G235" s="19"/>
    </row>
    <row r="236" spans="1:7" ht="15" x14ac:dyDescent="0.25">
      <c r="A236" s="18" t="s">
        <v>39</v>
      </c>
      <c r="B236" s="17"/>
      <c r="D236" s="23" t="s">
        <v>22</v>
      </c>
      <c r="E236" s="23" t="s">
        <v>22</v>
      </c>
      <c r="F236" s="23" t="s">
        <v>22</v>
      </c>
      <c r="G236" s="17"/>
    </row>
    <row r="237" spans="1:7" ht="14.25" x14ac:dyDescent="0.25">
      <c r="A237" s="25" t="s">
        <v>40</v>
      </c>
      <c r="B237" s="26" t="s">
        <v>52</v>
      </c>
      <c r="C237" s="6"/>
      <c r="D237" s="26"/>
      <c r="E237" s="26"/>
      <c r="F237" s="26"/>
      <c r="G237" s="26"/>
    </row>
    <row r="238" spans="1:7" ht="14.25" x14ac:dyDescent="0.25">
      <c r="A238" s="25" t="s">
        <v>41</v>
      </c>
      <c r="B238" s="26"/>
      <c r="C238" s="6"/>
      <c r="D238" s="26"/>
      <c r="E238" s="26"/>
      <c r="F238" s="26"/>
      <c r="G238" s="26"/>
    </row>
    <row r="239" spans="1:7" ht="14.25" x14ac:dyDescent="0.25">
      <c r="A239" s="16" t="s">
        <v>31</v>
      </c>
      <c r="B239" s="17">
        <f>B234</f>
        <v>40000</v>
      </c>
      <c r="D239" s="17">
        <f>D234</f>
        <v>40363.636400000003</v>
      </c>
      <c r="E239" s="17">
        <f>E234</f>
        <v>40363.636400000003</v>
      </c>
      <c r="F239" s="17">
        <f>F234</f>
        <v>34813.636395000001</v>
      </c>
      <c r="G239" s="17"/>
    </row>
    <row r="240" spans="1:7" ht="14.25" x14ac:dyDescent="0.25">
      <c r="A240" s="16" t="s">
        <v>42</v>
      </c>
      <c r="B240" s="17"/>
      <c r="D240" s="23"/>
      <c r="E240" s="23"/>
      <c r="F240" s="23"/>
      <c r="G240" s="17"/>
    </row>
    <row r="241" spans="1:7" s="24" customFormat="1" ht="14.25" x14ac:dyDescent="0.25">
      <c r="A241" s="22" t="s">
        <v>43</v>
      </c>
      <c r="B241" s="23"/>
      <c r="D241" s="23" t="s">
        <v>22</v>
      </c>
      <c r="E241" s="23" t="s">
        <v>22</v>
      </c>
      <c r="F241" s="23" t="s">
        <v>22</v>
      </c>
      <c r="G241" s="23"/>
    </row>
    <row r="242" spans="1:7" s="24" customFormat="1" ht="14.25" x14ac:dyDescent="0.25">
      <c r="A242" s="22" t="s">
        <v>44</v>
      </c>
      <c r="B242" s="23"/>
      <c r="D242" s="23" t="s">
        <v>22</v>
      </c>
      <c r="E242" s="23" t="s">
        <v>22</v>
      </c>
      <c r="F242" s="23" t="s">
        <v>22</v>
      </c>
      <c r="G242" s="23"/>
    </row>
    <row r="243" spans="1:7" s="24" customFormat="1" ht="14.25" x14ac:dyDescent="0.25">
      <c r="A243" s="22" t="s">
        <v>45</v>
      </c>
      <c r="B243" s="23"/>
      <c r="D243" s="23">
        <v>50454.550500000005</v>
      </c>
      <c r="E243" s="23">
        <v>50454.550500000005</v>
      </c>
      <c r="F243" s="23">
        <v>50454.550500000005</v>
      </c>
      <c r="G243" s="23"/>
    </row>
    <row r="245" spans="1:7" ht="15" x14ac:dyDescent="0.25">
      <c r="B245" s="7" t="s">
        <v>1</v>
      </c>
      <c r="D245" s="96" t="s">
        <v>2</v>
      </c>
      <c r="E245" s="97"/>
      <c r="F245" s="98"/>
      <c r="G245" s="8"/>
    </row>
    <row r="246" spans="1:7" ht="15" x14ac:dyDescent="0.25">
      <c r="A246" s="9" t="s">
        <v>3</v>
      </c>
      <c r="B246" s="10" t="s">
        <v>125</v>
      </c>
      <c r="D246" s="10" t="s">
        <v>5</v>
      </c>
      <c r="E246" s="10" t="s">
        <v>6</v>
      </c>
      <c r="F246" s="10" t="s">
        <v>7</v>
      </c>
      <c r="G246" s="11" t="s">
        <v>8</v>
      </c>
    </row>
    <row r="247" spans="1:7" ht="15" x14ac:dyDescent="0.25">
      <c r="A247" s="12" t="s">
        <v>9</v>
      </c>
      <c r="B247" s="13" t="s">
        <v>88</v>
      </c>
      <c r="D247" s="100" t="s">
        <v>74</v>
      </c>
      <c r="E247" s="100"/>
      <c r="F247" s="101"/>
      <c r="G247" s="13"/>
    </row>
    <row r="248" spans="1:7" ht="15" x14ac:dyDescent="0.25">
      <c r="A248" s="14" t="s">
        <v>11</v>
      </c>
      <c r="B248" s="15"/>
      <c r="D248" s="15" t="s">
        <v>126</v>
      </c>
      <c r="E248" s="15" t="s">
        <v>126</v>
      </c>
      <c r="F248" s="15" t="s">
        <v>127</v>
      </c>
      <c r="G248" s="15"/>
    </row>
    <row r="249" spans="1:7" ht="14.25" x14ac:dyDescent="0.25">
      <c r="A249" s="16" t="s">
        <v>16</v>
      </c>
      <c r="B249" s="17">
        <v>79718.181890000007</v>
      </c>
      <c r="D249" s="17">
        <f>79000*100.909091%</f>
        <v>79718.181890000007</v>
      </c>
      <c r="E249" s="17">
        <f>79000*100.909091%</f>
        <v>79718.181890000007</v>
      </c>
      <c r="F249" s="17">
        <f>59000*100.909091%</f>
        <v>59536.363690000006</v>
      </c>
      <c r="G249" s="17"/>
    </row>
    <row r="250" spans="1:7" ht="15" x14ac:dyDescent="0.25">
      <c r="A250" s="18" t="s">
        <v>17</v>
      </c>
      <c r="B250" s="19">
        <v>453081.81859000004</v>
      </c>
      <c r="C250" s="20"/>
      <c r="D250" s="19">
        <f>449000*100.909091%</f>
        <v>453081.81859000004</v>
      </c>
      <c r="E250" s="19">
        <f>449000*100.909091%</f>
        <v>453081.81859000004</v>
      </c>
      <c r="F250" s="19">
        <f>295000*100.909091%</f>
        <v>297681.81845000002</v>
      </c>
      <c r="G250" s="19"/>
    </row>
    <row r="251" spans="1:7" ht="15" x14ac:dyDescent="0.25">
      <c r="A251" s="18" t="s">
        <v>18</v>
      </c>
      <c r="B251" s="19"/>
      <c r="C251" s="20"/>
      <c r="D251" s="19"/>
      <c r="E251" s="19"/>
      <c r="F251" s="19"/>
      <c r="G251" s="19"/>
    </row>
    <row r="252" spans="1:7" s="24" customFormat="1" ht="14.25" x14ac:dyDescent="0.25">
      <c r="A252" s="22" t="s">
        <v>19</v>
      </c>
      <c r="B252" s="23"/>
      <c r="D252" s="23" t="s">
        <v>22</v>
      </c>
      <c r="E252" s="23" t="s">
        <v>22</v>
      </c>
      <c r="F252" s="23" t="s">
        <v>77</v>
      </c>
      <c r="G252" s="23"/>
    </row>
    <row r="253" spans="1:7" s="24" customFormat="1" ht="14.25" x14ac:dyDescent="0.25">
      <c r="A253" s="22" t="s">
        <v>23</v>
      </c>
      <c r="B253" s="23"/>
      <c r="D253" s="23" t="s">
        <v>22</v>
      </c>
      <c r="E253" s="23" t="s">
        <v>22</v>
      </c>
      <c r="F253" s="23" t="s">
        <v>77</v>
      </c>
      <c r="G253" s="23"/>
    </row>
    <row r="254" spans="1:7" s="24" customFormat="1" ht="14.25" x14ac:dyDescent="0.25">
      <c r="A254" s="22" t="s">
        <v>24</v>
      </c>
      <c r="B254" s="23"/>
      <c r="D254" s="23" t="s">
        <v>25</v>
      </c>
      <c r="E254" s="23" t="s">
        <v>25</v>
      </c>
      <c r="F254" s="23">
        <v>504544.95000000007</v>
      </c>
      <c r="G254" s="23"/>
    </row>
    <row r="255" spans="1:7" ht="14.25" x14ac:dyDescent="0.25">
      <c r="A255" s="25" t="s">
        <v>26</v>
      </c>
      <c r="B255" s="26"/>
      <c r="C255" s="6"/>
      <c r="D255" s="26"/>
      <c r="E255" s="26"/>
      <c r="F255" s="26"/>
      <c r="G255" s="26"/>
    </row>
    <row r="256" spans="1:7" ht="14.25" x14ac:dyDescent="0.25">
      <c r="A256" s="25" t="s">
        <v>29</v>
      </c>
      <c r="B256" s="26"/>
      <c r="C256" s="6"/>
      <c r="D256" s="26" t="s">
        <v>78</v>
      </c>
      <c r="E256" s="26" t="s">
        <v>115</v>
      </c>
      <c r="F256" s="26" t="s">
        <v>118</v>
      </c>
      <c r="G256" s="26"/>
    </row>
    <row r="257" spans="1:7" ht="15" x14ac:dyDescent="0.25">
      <c r="A257" s="18" t="s">
        <v>31</v>
      </c>
      <c r="B257" s="19">
        <v>79000</v>
      </c>
      <c r="C257" s="20"/>
      <c r="D257" s="19">
        <f>D249</f>
        <v>79718.181890000007</v>
      </c>
      <c r="E257" s="19">
        <f>E249</f>
        <v>79718.181890000007</v>
      </c>
      <c r="F257" s="46">
        <f>F249</f>
        <v>59536.363690000006</v>
      </c>
      <c r="G257" s="19"/>
    </row>
    <row r="258" spans="1:7" s="20" customFormat="1" ht="15" x14ac:dyDescent="0.25">
      <c r="A258" s="18" t="s">
        <v>32</v>
      </c>
      <c r="B258" s="19"/>
      <c r="D258" s="19"/>
      <c r="E258" s="19"/>
      <c r="F258" s="19"/>
      <c r="G258" s="19"/>
    </row>
    <row r="259" spans="1:7" ht="14.25" x14ac:dyDescent="0.25">
      <c r="A259" s="22" t="s">
        <v>19</v>
      </c>
      <c r="B259" s="23"/>
      <c r="C259" s="24"/>
      <c r="D259" s="23" t="s">
        <v>33</v>
      </c>
      <c r="E259" s="23" t="s">
        <v>33</v>
      </c>
      <c r="F259" s="23" t="s">
        <v>33</v>
      </c>
      <c r="G259" s="23"/>
    </row>
    <row r="260" spans="1:7" ht="14.25" x14ac:dyDescent="0.25">
      <c r="A260" s="22" t="s">
        <v>23</v>
      </c>
      <c r="B260" s="23"/>
      <c r="C260" s="24"/>
      <c r="D260" s="23" t="s">
        <v>33</v>
      </c>
      <c r="E260" s="23" t="s">
        <v>33</v>
      </c>
      <c r="F260" s="23" t="s">
        <v>33</v>
      </c>
      <c r="G260" s="23"/>
    </row>
    <row r="261" spans="1:7" ht="14.25" x14ac:dyDescent="0.25">
      <c r="A261" s="22" t="s">
        <v>24</v>
      </c>
      <c r="B261" s="23"/>
      <c r="C261" s="24"/>
      <c r="D261" s="23">
        <v>50454.550500000005</v>
      </c>
      <c r="E261" s="23">
        <v>50454.550500000005</v>
      </c>
      <c r="F261" s="23">
        <v>50454.550500000005</v>
      </c>
      <c r="G261" s="23"/>
    </row>
    <row r="262" spans="1:7" ht="15" x14ac:dyDescent="0.25">
      <c r="A262" s="27" t="s">
        <v>92</v>
      </c>
      <c r="B262" s="28"/>
      <c r="C262" s="20"/>
      <c r="D262" s="28">
        <v>211909</v>
      </c>
      <c r="E262" s="43">
        <v>302727.19200000004</v>
      </c>
      <c r="F262" s="28">
        <v>302727.19200000004</v>
      </c>
      <c r="G262" s="28"/>
    </row>
    <row r="263" spans="1:7" ht="15" x14ac:dyDescent="0.25">
      <c r="A263" s="29" t="s">
        <v>36</v>
      </c>
      <c r="B263" s="30"/>
      <c r="D263" s="30"/>
      <c r="E263" s="30"/>
      <c r="F263" s="31"/>
      <c r="G263" s="30"/>
    </row>
    <row r="264" spans="1:7" ht="14.25" x14ac:dyDescent="0.25">
      <c r="A264" s="16" t="s">
        <v>37</v>
      </c>
      <c r="B264" s="17">
        <v>40000</v>
      </c>
      <c r="D264" s="17">
        <f>40000*100.909091%</f>
        <v>40363.636400000003</v>
      </c>
      <c r="E264" s="17">
        <f>40000*100.909091%</f>
        <v>40363.636400000003</v>
      </c>
      <c r="F264" s="17">
        <f>59000*100.909091%</f>
        <v>59536.363690000006</v>
      </c>
      <c r="G264" s="17"/>
    </row>
    <row r="265" spans="1:7" ht="15" x14ac:dyDescent="0.25">
      <c r="A265" s="18" t="s">
        <v>38</v>
      </c>
      <c r="B265" s="19">
        <v>200000</v>
      </c>
      <c r="C265" s="20"/>
      <c r="D265" s="19">
        <f>200000*100.909091%</f>
        <v>201818.182</v>
      </c>
      <c r="E265" s="19">
        <f>200000*100.909091%</f>
        <v>201818.182</v>
      </c>
      <c r="F265" s="19">
        <f>295000*100.909091%</f>
        <v>297681.81845000002</v>
      </c>
      <c r="G265" s="19"/>
    </row>
    <row r="266" spans="1:7" ht="15" x14ac:dyDescent="0.25">
      <c r="A266" s="18" t="s">
        <v>39</v>
      </c>
      <c r="B266" s="17"/>
      <c r="D266" s="23" t="s">
        <v>22</v>
      </c>
      <c r="E266" s="23" t="s">
        <v>22</v>
      </c>
      <c r="F266" s="23" t="s">
        <v>22</v>
      </c>
      <c r="G266" s="23"/>
    </row>
    <row r="267" spans="1:7" ht="14.25" x14ac:dyDescent="0.25">
      <c r="A267" s="25" t="s">
        <v>40</v>
      </c>
      <c r="B267" s="26"/>
      <c r="C267" s="6"/>
      <c r="D267" s="26"/>
      <c r="E267" s="26"/>
      <c r="F267" s="26"/>
      <c r="G267" s="26"/>
    </row>
    <row r="268" spans="1:7" ht="14.25" x14ac:dyDescent="0.25">
      <c r="A268" s="25" t="s">
        <v>41</v>
      </c>
      <c r="B268" s="26"/>
      <c r="C268" s="6"/>
      <c r="D268" s="26"/>
      <c r="E268" s="26"/>
      <c r="F268" s="26"/>
      <c r="G268" s="26"/>
    </row>
    <row r="269" spans="1:7" ht="14.25" x14ac:dyDescent="0.25">
      <c r="A269" s="16" t="s">
        <v>31</v>
      </c>
      <c r="B269" s="17">
        <f>B264</f>
        <v>40000</v>
      </c>
      <c r="D269" s="17">
        <f>D264</f>
        <v>40363.636400000003</v>
      </c>
      <c r="E269" s="17">
        <f>E264</f>
        <v>40363.636400000003</v>
      </c>
      <c r="F269" s="17">
        <f>F264</f>
        <v>59536.363690000006</v>
      </c>
      <c r="G269" s="17"/>
    </row>
    <row r="270" spans="1:7" ht="14.25" x14ac:dyDescent="0.25">
      <c r="A270" s="16" t="s">
        <v>42</v>
      </c>
      <c r="B270" s="17"/>
      <c r="D270" s="23"/>
      <c r="E270" s="23"/>
      <c r="F270" s="23"/>
      <c r="G270" s="23"/>
    </row>
    <row r="271" spans="1:7" s="24" customFormat="1" ht="14.25" x14ac:dyDescent="0.25">
      <c r="A271" s="22" t="s">
        <v>43</v>
      </c>
      <c r="B271" s="23"/>
      <c r="D271" s="23" t="s">
        <v>22</v>
      </c>
      <c r="E271" s="23" t="s">
        <v>22</v>
      </c>
      <c r="F271" s="23" t="s">
        <v>22</v>
      </c>
      <c r="G271" s="23"/>
    </row>
    <row r="272" spans="1:7" s="24" customFormat="1" ht="14.25" x14ac:dyDescent="0.25">
      <c r="A272" s="22" t="s">
        <v>44</v>
      </c>
      <c r="B272" s="23"/>
      <c r="D272" s="23" t="s">
        <v>22</v>
      </c>
      <c r="E272" s="23" t="s">
        <v>22</v>
      </c>
      <c r="F272" s="23" t="s">
        <v>22</v>
      </c>
      <c r="G272" s="23"/>
    </row>
    <row r="273" spans="1:7" s="24" customFormat="1" ht="14.25" x14ac:dyDescent="0.25">
      <c r="A273" s="22" t="s">
        <v>45</v>
      </c>
      <c r="B273" s="23"/>
      <c r="D273" s="23">
        <v>50454.550500000005</v>
      </c>
      <c r="E273" s="23">
        <v>50454.550500000005</v>
      </c>
      <c r="F273" s="23">
        <v>50454.550500000005</v>
      </c>
      <c r="G273" s="23"/>
    </row>
    <row r="274" spans="1:7" ht="14.25" x14ac:dyDescent="0.25"/>
    <row r="275" spans="1:7" ht="15" x14ac:dyDescent="0.25">
      <c r="B275" s="7" t="s">
        <v>1</v>
      </c>
      <c r="D275" s="96" t="s">
        <v>2</v>
      </c>
      <c r="E275" s="97"/>
      <c r="F275" s="98"/>
      <c r="G275" s="8"/>
    </row>
    <row r="276" spans="1:7" ht="15" x14ac:dyDescent="0.25">
      <c r="A276" s="9" t="s">
        <v>3</v>
      </c>
      <c r="B276" s="10" t="s">
        <v>128</v>
      </c>
      <c r="D276" s="10" t="s">
        <v>5</v>
      </c>
      <c r="E276" s="10" t="s">
        <v>6</v>
      </c>
      <c r="F276" s="10" t="s">
        <v>7</v>
      </c>
      <c r="G276" s="11" t="s">
        <v>8</v>
      </c>
    </row>
    <row r="277" spans="1:7" ht="15" x14ac:dyDescent="0.25">
      <c r="A277" s="12" t="s">
        <v>9</v>
      </c>
      <c r="B277" s="13" t="s">
        <v>129</v>
      </c>
      <c r="D277" s="100" t="s">
        <v>74</v>
      </c>
      <c r="E277" s="100"/>
      <c r="F277" s="47"/>
      <c r="G277" s="13"/>
    </row>
    <row r="278" spans="1:7" ht="15" x14ac:dyDescent="0.25">
      <c r="A278" s="14" t="s">
        <v>11</v>
      </c>
      <c r="B278" s="15"/>
      <c r="D278" s="54" t="s">
        <v>84</v>
      </c>
      <c r="E278" s="54" t="s">
        <v>126</v>
      </c>
      <c r="F278" s="41"/>
      <c r="G278" s="15"/>
    </row>
    <row r="279" spans="1:7" ht="14.25" x14ac:dyDescent="0.25">
      <c r="A279" s="16" t="s">
        <v>16</v>
      </c>
      <c r="B279" s="17">
        <v>99900.000090000001</v>
      </c>
      <c r="D279" s="17">
        <f>99000*100.909091%</f>
        <v>99900.000090000001</v>
      </c>
      <c r="E279" s="17">
        <f>79000*100.909091%</f>
        <v>79718.181890000007</v>
      </c>
      <c r="F279" s="17"/>
      <c r="G279" s="17"/>
    </row>
    <row r="280" spans="1:7" ht="15" x14ac:dyDescent="0.25">
      <c r="A280" s="18" t="s">
        <v>17</v>
      </c>
      <c r="B280" s="19">
        <v>499500.00045000005</v>
      </c>
      <c r="C280" s="20"/>
      <c r="D280" s="19">
        <f>495000*100.909091%</f>
        <v>499500.00045000005</v>
      </c>
      <c r="E280" s="19">
        <f>449000*100.909091%</f>
        <v>453081.81859000004</v>
      </c>
      <c r="F280" s="19"/>
      <c r="G280" s="19"/>
    </row>
    <row r="281" spans="1:7" ht="15" x14ac:dyDescent="0.25">
      <c r="A281" s="18" t="s">
        <v>18</v>
      </c>
      <c r="B281" s="19"/>
      <c r="C281" s="20"/>
      <c r="D281" s="19"/>
      <c r="E281" s="19"/>
      <c r="F281" s="19"/>
      <c r="G281" s="19"/>
    </row>
    <row r="282" spans="1:7" s="24" customFormat="1" ht="14.25" x14ac:dyDescent="0.25">
      <c r="A282" s="22" t="s">
        <v>19</v>
      </c>
      <c r="B282" s="23"/>
      <c r="D282" s="23" t="s">
        <v>25</v>
      </c>
      <c r="E282" s="23" t="s">
        <v>22</v>
      </c>
      <c r="F282" s="23"/>
      <c r="G282" s="23"/>
    </row>
    <row r="283" spans="1:7" s="24" customFormat="1" ht="14.25" x14ac:dyDescent="0.25">
      <c r="A283" s="22" t="s">
        <v>23</v>
      </c>
      <c r="B283" s="23"/>
      <c r="D283" s="23" t="s">
        <v>25</v>
      </c>
      <c r="E283" s="23" t="s">
        <v>22</v>
      </c>
      <c r="F283" s="23"/>
      <c r="G283" s="23"/>
    </row>
    <row r="284" spans="1:7" s="24" customFormat="1" ht="14.25" x14ac:dyDescent="0.25">
      <c r="A284" s="22" t="s">
        <v>24</v>
      </c>
      <c r="B284" s="23"/>
      <c r="D284" s="23" t="s">
        <v>25</v>
      </c>
      <c r="E284" s="23" t="s">
        <v>25</v>
      </c>
      <c r="F284" s="23"/>
      <c r="G284" s="23"/>
    </row>
    <row r="285" spans="1:7" ht="14.25" x14ac:dyDescent="0.25">
      <c r="A285" s="25" t="s">
        <v>26</v>
      </c>
      <c r="B285" s="26"/>
      <c r="C285" s="6"/>
      <c r="D285" s="26"/>
      <c r="E285" s="26"/>
      <c r="F285" s="26"/>
      <c r="G285" s="26"/>
    </row>
    <row r="286" spans="1:7" ht="14.25" x14ac:dyDescent="0.25">
      <c r="A286" s="25" t="s">
        <v>29</v>
      </c>
      <c r="B286" s="26"/>
      <c r="C286" s="6"/>
      <c r="D286" s="26" t="s">
        <v>78</v>
      </c>
      <c r="E286" s="26" t="s">
        <v>115</v>
      </c>
      <c r="F286" s="26"/>
      <c r="G286" s="26"/>
    </row>
    <row r="287" spans="1:7" ht="15" x14ac:dyDescent="0.25">
      <c r="A287" s="18" t="s">
        <v>31</v>
      </c>
      <c r="B287" s="17">
        <v>99900.000090000001</v>
      </c>
      <c r="C287" s="20"/>
      <c r="D287" s="19">
        <f>D279</f>
        <v>99900.000090000001</v>
      </c>
      <c r="E287" s="19">
        <f>E279</f>
        <v>79718.181890000007</v>
      </c>
      <c r="F287" s="19"/>
      <c r="G287" s="19"/>
    </row>
    <row r="288" spans="1:7" s="20" customFormat="1" ht="15" x14ac:dyDescent="0.25">
      <c r="A288" s="18" t="s">
        <v>32</v>
      </c>
      <c r="B288" s="19"/>
      <c r="D288" s="19"/>
      <c r="E288" s="19"/>
      <c r="F288" s="19"/>
      <c r="G288" s="19"/>
    </row>
    <row r="289" spans="1:7" ht="14.25" x14ac:dyDescent="0.25">
      <c r="A289" s="22" t="s">
        <v>19</v>
      </c>
      <c r="B289" s="23"/>
      <c r="C289" s="24"/>
      <c r="D289" s="23">
        <v>20181.820200000002</v>
      </c>
      <c r="E289" s="23" t="s">
        <v>33</v>
      </c>
      <c r="F289" s="23"/>
      <c r="G289" s="23"/>
    </row>
    <row r="290" spans="1:7" ht="14.25" x14ac:dyDescent="0.25">
      <c r="A290" s="22" t="s">
        <v>23</v>
      </c>
      <c r="B290" s="23"/>
      <c r="C290" s="24"/>
      <c r="D290" s="23">
        <v>30272.730300000003</v>
      </c>
      <c r="E290" s="23" t="s">
        <v>33</v>
      </c>
      <c r="F290" s="23"/>
      <c r="G290" s="23"/>
    </row>
    <row r="291" spans="1:7" ht="14.25" x14ac:dyDescent="0.25">
      <c r="A291" s="22" t="s">
        <v>24</v>
      </c>
      <c r="B291" s="23"/>
      <c r="C291" s="24"/>
      <c r="D291" s="23">
        <v>50454.550500000005</v>
      </c>
      <c r="E291" s="23">
        <v>50454.550500000005</v>
      </c>
      <c r="F291" s="23"/>
      <c r="G291" s="23"/>
    </row>
    <row r="292" spans="1:7" ht="15" x14ac:dyDescent="0.25">
      <c r="A292" s="27" t="s">
        <v>92</v>
      </c>
      <c r="B292" s="28"/>
      <c r="C292" s="20"/>
      <c r="D292" s="28">
        <v>211909</v>
      </c>
      <c r="E292" s="43">
        <v>302727.19200000004</v>
      </c>
      <c r="F292" s="28"/>
      <c r="G292" s="28"/>
    </row>
    <row r="293" spans="1:7" ht="15" x14ac:dyDescent="0.25">
      <c r="A293" s="29" t="s">
        <v>36</v>
      </c>
      <c r="B293" s="30"/>
      <c r="D293" s="30"/>
      <c r="E293" s="30"/>
      <c r="F293" s="31"/>
      <c r="G293" s="30"/>
    </row>
    <row r="294" spans="1:7" ht="14.25" x14ac:dyDescent="0.25">
      <c r="A294" s="16" t="s">
        <v>37</v>
      </c>
      <c r="B294" s="17">
        <v>40000</v>
      </c>
      <c r="D294" s="17">
        <f>40000*100.909091%</f>
        <v>40363.636400000003</v>
      </c>
      <c r="E294" s="17">
        <f>40000*100.909091%</f>
        <v>40363.636400000003</v>
      </c>
      <c r="F294" s="17"/>
      <c r="G294" s="17"/>
    </row>
    <row r="295" spans="1:7" ht="15" x14ac:dyDescent="0.25">
      <c r="A295" s="18" t="s">
        <v>38</v>
      </c>
      <c r="B295" s="19">
        <v>200000</v>
      </c>
      <c r="C295" s="20"/>
      <c r="D295" s="19">
        <f>200000*100.909091%</f>
        <v>201818.182</v>
      </c>
      <c r="E295" s="19">
        <f>200000*100.909091%</f>
        <v>201818.182</v>
      </c>
      <c r="F295" s="19"/>
      <c r="G295" s="19"/>
    </row>
    <row r="296" spans="1:7" ht="15" x14ac:dyDescent="0.25">
      <c r="A296" s="18" t="s">
        <v>39</v>
      </c>
      <c r="B296" s="17"/>
      <c r="D296" s="23" t="s">
        <v>22</v>
      </c>
      <c r="E296" s="23" t="s">
        <v>22</v>
      </c>
      <c r="F296" s="23"/>
      <c r="G296" s="23"/>
    </row>
    <row r="297" spans="1:7" ht="14.25" x14ac:dyDescent="0.25">
      <c r="A297" s="25" t="s">
        <v>40</v>
      </c>
      <c r="B297" s="26"/>
      <c r="C297" s="6"/>
      <c r="D297" s="26"/>
      <c r="E297" s="26"/>
      <c r="F297" s="26"/>
      <c r="G297" s="26"/>
    </row>
    <row r="298" spans="1:7" ht="14.25" x14ac:dyDescent="0.25">
      <c r="A298" s="25" t="s">
        <v>41</v>
      </c>
      <c r="B298" s="26"/>
      <c r="C298" s="6"/>
      <c r="D298" s="26"/>
      <c r="E298" s="26"/>
      <c r="F298" s="26"/>
      <c r="G298" s="26"/>
    </row>
    <row r="299" spans="1:7" ht="14.25" x14ac:dyDescent="0.25">
      <c r="A299" s="16" t="s">
        <v>31</v>
      </c>
      <c r="B299" s="17">
        <f>B294</f>
        <v>40000</v>
      </c>
      <c r="D299" s="17">
        <f>D294</f>
        <v>40363.636400000003</v>
      </c>
      <c r="E299" s="17">
        <f>E294</f>
        <v>40363.636400000003</v>
      </c>
      <c r="F299" s="17"/>
      <c r="G299" s="17"/>
    </row>
    <row r="300" spans="1:7" ht="14.25" x14ac:dyDescent="0.25">
      <c r="A300" s="16" t="s">
        <v>42</v>
      </c>
      <c r="B300" s="17"/>
      <c r="D300" s="23"/>
      <c r="E300" s="23"/>
      <c r="F300" s="23"/>
      <c r="G300" s="23"/>
    </row>
    <row r="301" spans="1:7" s="24" customFormat="1" ht="14.25" x14ac:dyDescent="0.25">
      <c r="A301" s="22" t="s">
        <v>43</v>
      </c>
      <c r="B301" s="23"/>
      <c r="D301" s="23" t="s">
        <v>22</v>
      </c>
      <c r="E301" s="23" t="s">
        <v>22</v>
      </c>
      <c r="F301" s="23"/>
      <c r="G301" s="23"/>
    </row>
    <row r="302" spans="1:7" s="24" customFormat="1" ht="14.25" x14ac:dyDescent="0.25">
      <c r="A302" s="22" t="s">
        <v>44</v>
      </c>
      <c r="B302" s="23"/>
      <c r="D302" s="23" t="s">
        <v>22</v>
      </c>
      <c r="E302" s="23" t="s">
        <v>22</v>
      </c>
      <c r="F302" s="23"/>
      <c r="G302" s="23"/>
    </row>
    <row r="303" spans="1:7" s="24" customFormat="1" ht="14.25" x14ac:dyDescent="0.25">
      <c r="A303" s="22" t="s">
        <v>45</v>
      </c>
      <c r="B303" s="23"/>
      <c r="D303" s="23">
        <v>50454.550500000005</v>
      </c>
      <c r="E303" s="23">
        <v>50454.550500000005</v>
      </c>
      <c r="F303" s="23"/>
      <c r="G303" s="23"/>
    </row>
    <row r="304" spans="1:7" s="24" customFormat="1" ht="14.25" x14ac:dyDescent="0.25">
      <c r="A304" s="55"/>
      <c r="G304" s="56"/>
    </row>
    <row r="305" spans="1:7" ht="15" x14ac:dyDescent="0.25">
      <c r="B305" s="7" t="s">
        <v>1</v>
      </c>
      <c r="D305" s="96" t="s">
        <v>2</v>
      </c>
      <c r="E305" s="97"/>
      <c r="F305" s="98"/>
      <c r="G305" s="8"/>
    </row>
    <row r="306" spans="1:7" ht="15" x14ac:dyDescent="0.25">
      <c r="A306" s="9" t="s">
        <v>3</v>
      </c>
      <c r="B306" s="10" t="s">
        <v>130</v>
      </c>
      <c r="D306" s="10" t="s">
        <v>5</v>
      </c>
      <c r="E306" s="10" t="s">
        <v>6</v>
      </c>
      <c r="F306" s="10" t="s">
        <v>7</v>
      </c>
      <c r="G306" s="11" t="s">
        <v>8</v>
      </c>
    </row>
    <row r="307" spans="1:7" ht="15" x14ac:dyDescent="0.25">
      <c r="A307" s="12" t="s">
        <v>9</v>
      </c>
      <c r="B307" s="13"/>
      <c r="D307" s="48" t="s">
        <v>59</v>
      </c>
      <c r="E307" s="100" t="s">
        <v>74</v>
      </c>
      <c r="F307" s="100"/>
      <c r="G307" s="13"/>
    </row>
    <row r="308" spans="1:7" ht="15" x14ac:dyDescent="0.25">
      <c r="A308" s="14" t="s">
        <v>11</v>
      </c>
      <c r="B308" s="15"/>
      <c r="D308" s="15" t="s">
        <v>131</v>
      </c>
      <c r="E308" s="15" t="s">
        <v>84</v>
      </c>
      <c r="F308" s="15" t="s">
        <v>126</v>
      </c>
      <c r="G308" s="15"/>
    </row>
    <row r="309" spans="1:7" ht="14.25" x14ac:dyDescent="0.25">
      <c r="A309" s="16" t="s">
        <v>16</v>
      </c>
      <c r="B309" s="17">
        <v>130172.72739000001</v>
      </c>
      <c r="D309" s="17">
        <f>129000*100.909091%</f>
        <v>130172.72739000001</v>
      </c>
      <c r="E309" s="17">
        <f>99000*100.909091%</f>
        <v>99900.000090000001</v>
      </c>
      <c r="F309" s="17">
        <f>79000*100.909091%</f>
        <v>79718.181890000007</v>
      </c>
      <c r="G309" s="17"/>
    </row>
    <row r="310" spans="1:7" ht="15" x14ac:dyDescent="0.25">
      <c r="A310" s="18" t="s">
        <v>17</v>
      </c>
      <c r="B310" s="19">
        <v>755809.09159000008</v>
      </c>
      <c r="C310" s="20"/>
      <c r="D310" s="19">
        <f>749000*100.909091%</f>
        <v>755809.09159000008</v>
      </c>
      <c r="E310" s="19">
        <f>495000*100.909091%</f>
        <v>499500.00045000005</v>
      </c>
      <c r="F310" s="19">
        <f>449000*100.909091%</f>
        <v>453081.81859000004</v>
      </c>
      <c r="G310" s="19"/>
    </row>
    <row r="311" spans="1:7" ht="15" x14ac:dyDescent="0.25">
      <c r="A311" s="18" t="s">
        <v>18</v>
      </c>
      <c r="B311" s="19"/>
      <c r="C311" s="20"/>
      <c r="D311" s="19"/>
      <c r="E311" s="19"/>
      <c r="F311" s="19"/>
      <c r="G311" s="19"/>
    </row>
    <row r="312" spans="1:7" s="24" customFormat="1" ht="14.25" x14ac:dyDescent="0.25">
      <c r="A312" s="22" t="s">
        <v>19</v>
      </c>
      <c r="B312" s="23"/>
      <c r="D312" s="23" t="s">
        <v>22</v>
      </c>
      <c r="E312" s="23">
        <v>100909.08990000001</v>
      </c>
      <c r="F312" s="23" t="s">
        <v>22</v>
      </c>
      <c r="G312" s="23"/>
    </row>
    <row r="313" spans="1:7" s="24" customFormat="1" ht="14.25" x14ac:dyDescent="0.25">
      <c r="A313" s="22" t="s">
        <v>23</v>
      </c>
      <c r="B313" s="23"/>
      <c r="D313" s="23" t="s">
        <v>22</v>
      </c>
      <c r="E313" s="23">
        <v>151363.64040000003</v>
      </c>
      <c r="F313" s="23" t="s">
        <v>22</v>
      </c>
      <c r="G313" s="23"/>
    </row>
    <row r="314" spans="1:7" s="24" customFormat="1" ht="14.25" x14ac:dyDescent="0.25">
      <c r="A314" s="22" t="s">
        <v>24</v>
      </c>
      <c r="B314" s="23"/>
      <c r="D314" s="23" t="s">
        <v>25</v>
      </c>
      <c r="E314" s="23">
        <v>181636.3596</v>
      </c>
      <c r="F314" s="23" t="s">
        <v>25</v>
      </c>
      <c r="G314" s="23"/>
    </row>
    <row r="315" spans="1:7" ht="14.25" x14ac:dyDescent="0.25">
      <c r="A315" s="25" t="s">
        <v>26</v>
      </c>
      <c r="B315" s="26"/>
      <c r="C315" s="6"/>
      <c r="D315" s="26"/>
      <c r="E315" s="26"/>
      <c r="F315" s="26"/>
      <c r="G315" s="26"/>
    </row>
    <row r="316" spans="1:7" ht="14.25" x14ac:dyDescent="0.25">
      <c r="A316" s="25" t="s">
        <v>29</v>
      </c>
      <c r="B316" s="26"/>
      <c r="C316" s="6"/>
      <c r="D316" s="26" t="s">
        <v>54</v>
      </c>
      <c r="E316" s="26" t="s">
        <v>54</v>
      </c>
      <c r="F316" s="26" t="s">
        <v>78</v>
      </c>
      <c r="G316" s="26"/>
    </row>
    <row r="317" spans="1:7" ht="15" x14ac:dyDescent="0.25">
      <c r="A317" s="18" t="s">
        <v>31</v>
      </c>
      <c r="B317" s="19">
        <v>129000</v>
      </c>
      <c r="C317" s="20"/>
      <c r="D317" s="19">
        <f>D309</f>
        <v>130172.72739000001</v>
      </c>
      <c r="E317" s="19">
        <f>E309</f>
        <v>99900.000090000001</v>
      </c>
      <c r="F317" s="19">
        <f>F309</f>
        <v>79718.181890000007</v>
      </c>
      <c r="G317" s="19"/>
    </row>
    <row r="318" spans="1:7" s="20" customFormat="1" ht="15" x14ac:dyDescent="0.25">
      <c r="A318" s="18" t="s">
        <v>32</v>
      </c>
      <c r="B318" s="19"/>
      <c r="D318" s="19"/>
      <c r="E318" s="19"/>
      <c r="F318" s="19"/>
      <c r="G318" s="19"/>
    </row>
    <row r="319" spans="1:7" ht="14.25" x14ac:dyDescent="0.25">
      <c r="A319" s="22" t="s">
        <v>19</v>
      </c>
      <c r="B319" s="23"/>
      <c r="C319" s="24"/>
      <c r="D319" s="23" t="s">
        <v>33</v>
      </c>
      <c r="E319" s="23">
        <v>20181.820200000002</v>
      </c>
      <c r="F319" s="23" t="s">
        <v>33</v>
      </c>
      <c r="G319" s="23"/>
    </row>
    <row r="320" spans="1:7" ht="14.25" x14ac:dyDescent="0.25">
      <c r="A320" s="22" t="s">
        <v>23</v>
      </c>
      <c r="B320" s="23"/>
      <c r="C320" s="24"/>
      <c r="D320" s="23" t="s">
        <v>33</v>
      </c>
      <c r="E320" s="23">
        <v>30272.730300000003</v>
      </c>
      <c r="F320" s="23" t="s">
        <v>33</v>
      </c>
      <c r="G320" s="23"/>
    </row>
    <row r="321" spans="1:7" ht="14.25" x14ac:dyDescent="0.25">
      <c r="A321" s="22" t="s">
        <v>24</v>
      </c>
      <c r="B321" s="23"/>
      <c r="C321" s="24"/>
      <c r="D321" s="23">
        <v>50454.550500000005</v>
      </c>
      <c r="E321" s="23">
        <v>50454.550500000005</v>
      </c>
      <c r="F321" s="23">
        <v>50454.550500000005</v>
      </c>
      <c r="G321" s="23"/>
    </row>
    <row r="322" spans="1:7" ht="15" x14ac:dyDescent="0.25">
      <c r="A322" s="27" t="s">
        <v>92</v>
      </c>
      <c r="B322" s="28"/>
      <c r="C322" s="20"/>
      <c r="D322" s="43">
        <v>302727.19200000004</v>
      </c>
      <c r="E322" s="28">
        <v>302727.19200000004</v>
      </c>
      <c r="F322" s="28">
        <v>302727.19200000004</v>
      </c>
      <c r="G322" s="28"/>
    </row>
    <row r="323" spans="1:7" ht="15" x14ac:dyDescent="0.25">
      <c r="A323" s="29" t="s">
        <v>36</v>
      </c>
      <c r="B323" s="30"/>
      <c r="D323" s="30"/>
      <c r="E323" s="30"/>
      <c r="F323" s="30"/>
      <c r="G323" s="30"/>
    </row>
    <row r="324" spans="1:7" ht="14.25" x14ac:dyDescent="0.25">
      <c r="A324" s="16" t="s">
        <v>37</v>
      </c>
      <c r="B324" s="17">
        <v>40000</v>
      </c>
      <c r="D324" s="17">
        <f>40000*100.909091%</f>
        <v>40363.636400000003</v>
      </c>
      <c r="E324" s="17">
        <f>99000*100.909091%</f>
        <v>99900.000090000001</v>
      </c>
      <c r="F324" s="17">
        <f>40000*100.909091%</f>
        <v>40363.636400000003</v>
      </c>
      <c r="G324" s="17"/>
    </row>
    <row r="325" spans="1:7" ht="15" x14ac:dyDescent="0.25">
      <c r="A325" s="18" t="s">
        <v>38</v>
      </c>
      <c r="B325" s="19">
        <v>400000</v>
      </c>
      <c r="C325" s="20"/>
      <c r="D325" s="19">
        <f>200000*100.909091%</f>
        <v>201818.182</v>
      </c>
      <c r="E325" s="19">
        <f>300000*100.909091%</f>
        <v>302727.27300000004</v>
      </c>
      <c r="F325" s="19">
        <f>200000*100.909091%</f>
        <v>201818.182</v>
      </c>
      <c r="G325" s="19"/>
    </row>
    <row r="326" spans="1:7" ht="15" x14ac:dyDescent="0.25">
      <c r="A326" s="18" t="s">
        <v>39</v>
      </c>
      <c r="B326" s="17"/>
      <c r="D326" s="23" t="s">
        <v>22</v>
      </c>
      <c r="E326" s="23" t="s">
        <v>22</v>
      </c>
      <c r="F326" s="23" t="s">
        <v>22</v>
      </c>
      <c r="G326" s="23"/>
    </row>
    <row r="327" spans="1:7" ht="14.25" x14ac:dyDescent="0.25">
      <c r="A327" s="25" t="s">
        <v>40</v>
      </c>
      <c r="B327" s="26"/>
      <c r="C327" s="6"/>
      <c r="D327" s="26"/>
      <c r="E327" s="26"/>
      <c r="F327" s="26"/>
      <c r="G327" s="26"/>
    </row>
    <row r="328" spans="1:7" ht="14.25" x14ac:dyDescent="0.25">
      <c r="A328" s="25" t="s">
        <v>41</v>
      </c>
      <c r="B328" s="26"/>
      <c r="C328" s="6"/>
      <c r="D328" s="26"/>
      <c r="E328" s="26"/>
      <c r="F328" s="26"/>
      <c r="G328" s="26"/>
    </row>
    <row r="329" spans="1:7" ht="14.25" x14ac:dyDescent="0.25">
      <c r="A329" s="16" t="s">
        <v>31</v>
      </c>
      <c r="B329" s="17">
        <f>B324</f>
        <v>40000</v>
      </c>
      <c r="D329" s="17">
        <f>D324</f>
        <v>40363.636400000003</v>
      </c>
      <c r="E329" s="17">
        <f>E324</f>
        <v>99900.000090000001</v>
      </c>
      <c r="F329" s="17">
        <f>F324</f>
        <v>40363.636400000003</v>
      </c>
      <c r="G329" s="17"/>
    </row>
    <row r="330" spans="1:7" ht="14.25" x14ac:dyDescent="0.25">
      <c r="A330" s="16" t="s">
        <v>42</v>
      </c>
      <c r="B330" s="17"/>
      <c r="D330" s="23"/>
      <c r="E330" s="23"/>
      <c r="F330" s="23"/>
      <c r="G330" s="23"/>
    </row>
    <row r="331" spans="1:7" s="24" customFormat="1" ht="14.25" x14ac:dyDescent="0.25">
      <c r="A331" s="22" t="s">
        <v>43</v>
      </c>
      <c r="B331" s="23"/>
      <c r="D331" s="23" t="s">
        <v>22</v>
      </c>
      <c r="E331" s="23" t="s">
        <v>22</v>
      </c>
      <c r="F331" s="23" t="s">
        <v>22</v>
      </c>
      <c r="G331" s="23"/>
    </row>
    <row r="332" spans="1:7" s="24" customFormat="1" ht="14.25" x14ac:dyDescent="0.25">
      <c r="A332" s="22" t="s">
        <v>44</v>
      </c>
      <c r="B332" s="23"/>
      <c r="D332" s="23" t="s">
        <v>22</v>
      </c>
      <c r="E332" s="23" t="s">
        <v>22</v>
      </c>
      <c r="F332" s="23" t="s">
        <v>22</v>
      </c>
      <c r="G332" s="23"/>
    </row>
    <row r="333" spans="1:7" s="24" customFormat="1" ht="14.25" x14ac:dyDescent="0.25">
      <c r="A333" s="22" t="s">
        <v>45</v>
      </c>
      <c r="B333" s="23"/>
      <c r="D333" s="23">
        <v>50454.550500000005</v>
      </c>
      <c r="E333" s="23">
        <v>50454.550500000005</v>
      </c>
      <c r="F333" s="23">
        <v>50454.550500000005</v>
      </c>
      <c r="G333" s="23"/>
    </row>
    <row r="334" spans="1:7" ht="14.25" x14ac:dyDescent="0.25"/>
    <row r="335" spans="1:7" ht="15" x14ac:dyDescent="0.25">
      <c r="B335" s="7" t="s">
        <v>1</v>
      </c>
      <c r="D335" s="96" t="s">
        <v>2</v>
      </c>
      <c r="E335" s="97"/>
      <c r="F335" s="98"/>
      <c r="G335" s="8"/>
    </row>
    <row r="336" spans="1:7" ht="15" x14ac:dyDescent="0.25">
      <c r="A336" s="9" t="s">
        <v>3</v>
      </c>
      <c r="B336" s="10" t="s">
        <v>132</v>
      </c>
      <c r="D336" s="10" t="s">
        <v>5</v>
      </c>
      <c r="E336" s="10" t="s">
        <v>6</v>
      </c>
      <c r="F336" s="10" t="s">
        <v>7</v>
      </c>
      <c r="G336" s="11" t="s">
        <v>8</v>
      </c>
    </row>
    <row r="337" spans="1:7" ht="15" x14ac:dyDescent="0.25">
      <c r="A337" s="12" t="s">
        <v>9</v>
      </c>
      <c r="B337" s="13"/>
      <c r="D337" s="48" t="s">
        <v>10</v>
      </c>
      <c r="E337" s="48" t="s">
        <v>59</v>
      </c>
      <c r="F337" s="48" t="s">
        <v>74</v>
      </c>
      <c r="G337" s="13"/>
    </row>
    <row r="338" spans="1:7" ht="15" x14ac:dyDescent="0.25">
      <c r="A338" s="14" t="s">
        <v>11</v>
      </c>
      <c r="B338" s="15"/>
      <c r="D338" s="15" t="s">
        <v>133</v>
      </c>
      <c r="E338" s="15" t="s">
        <v>131</v>
      </c>
      <c r="F338" s="15" t="s">
        <v>126</v>
      </c>
      <c r="G338" s="15"/>
    </row>
    <row r="339" spans="1:7" ht="14.25" x14ac:dyDescent="0.25">
      <c r="A339" s="16" t="s">
        <v>16</v>
      </c>
      <c r="B339" s="17">
        <v>220990.90929000001</v>
      </c>
      <c r="D339" s="17">
        <f>219000*100.909091%</f>
        <v>220990.90929000001</v>
      </c>
      <c r="E339" s="17">
        <f>129000*100.909091%</f>
        <v>130172.72739000001</v>
      </c>
      <c r="F339" s="17">
        <f>79000*100.909091%</f>
        <v>79718.181890000007</v>
      </c>
      <c r="G339" s="17"/>
    </row>
    <row r="340" spans="1:7" ht="15" x14ac:dyDescent="0.25">
      <c r="A340" s="18" t="s">
        <v>17</v>
      </c>
      <c r="B340" s="19">
        <v>1209900.0010900002</v>
      </c>
      <c r="C340" s="20"/>
      <c r="D340" s="19">
        <f>1199000*100.909091%</f>
        <v>1209900.0010900002</v>
      </c>
      <c r="E340" s="19">
        <f>749000*100.909091%</f>
        <v>755809.09159000008</v>
      </c>
      <c r="F340" s="19">
        <f>449000*100.909091%</f>
        <v>453081.81859000004</v>
      </c>
      <c r="G340" s="19"/>
    </row>
    <row r="341" spans="1:7" ht="15" x14ac:dyDescent="0.25">
      <c r="A341" s="18" t="s">
        <v>18</v>
      </c>
      <c r="B341" s="19"/>
      <c r="C341" s="20"/>
      <c r="D341" s="19"/>
      <c r="E341" s="19"/>
      <c r="F341" s="19"/>
      <c r="G341" s="19"/>
    </row>
    <row r="342" spans="1:7" s="24" customFormat="1" ht="14.25" x14ac:dyDescent="0.25">
      <c r="A342" s="22" t="s">
        <v>19</v>
      </c>
      <c r="B342" s="23"/>
      <c r="D342" s="23" t="s">
        <v>22</v>
      </c>
      <c r="E342" s="23" t="s">
        <v>22</v>
      </c>
      <c r="F342" s="23" t="s">
        <v>22</v>
      </c>
      <c r="G342" s="23"/>
    </row>
    <row r="343" spans="1:7" s="24" customFormat="1" ht="14.25" x14ac:dyDescent="0.25">
      <c r="A343" s="22" t="s">
        <v>23</v>
      </c>
      <c r="B343" s="23"/>
      <c r="D343" s="23" t="s">
        <v>22</v>
      </c>
      <c r="E343" s="23" t="s">
        <v>22</v>
      </c>
      <c r="F343" s="23" t="s">
        <v>22</v>
      </c>
      <c r="G343" s="23"/>
    </row>
    <row r="344" spans="1:7" s="24" customFormat="1" ht="14.25" x14ac:dyDescent="0.25">
      <c r="A344" s="22" t="s">
        <v>24</v>
      </c>
      <c r="B344" s="23"/>
      <c r="D344" s="23" t="s">
        <v>25</v>
      </c>
      <c r="E344" s="23" t="s">
        <v>25</v>
      </c>
      <c r="F344" s="23" t="s">
        <v>25</v>
      </c>
      <c r="G344" s="23"/>
    </row>
    <row r="345" spans="1:7" ht="14.25" x14ac:dyDescent="0.25">
      <c r="A345" s="25" t="s">
        <v>26</v>
      </c>
      <c r="B345" s="26"/>
      <c r="C345" s="6"/>
      <c r="D345" s="26"/>
      <c r="E345" s="26"/>
      <c r="F345" s="26"/>
      <c r="G345" s="26"/>
    </row>
    <row r="346" spans="1:7" ht="14.25" x14ac:dyDescent="0.25">
      <c r="A346" s="25" t="s">
        <v>29</v>
      </c>
      <c r="B346" s="26"/>
      <c r="C346" s="6"/>
      <c r="D346" s="26"/>
      <c r="E346" s="26" t="s">
        <v>54</v>
      </c>
      <c r="F346" s="26" t="s">
        <v>78</v>
      </c>
      <c r="G346" s="26"/>
    </row>
    <row r="347" spans="1:7" ht="15" x14ac:dyDescent="0.25">
      <c r="A347" s="18" t="s">
        <v>31</v>
      </c>
      <c r="B347" s="19">
        <v>219000</v>
      </c>
      <c r="C347" s="20"/>
      <c r="D347" s="19">
        <f>D339</f>
        <v>220990.90929000001</v>
      </c>
      <c r="E347" s="19">
        <f>E339</f>
        <v>130172.72739000001</v>
      </c>
      <c r="F347" s="19">
        <f>F339</f>
        <v>79718.181890000007</v>
      </c>
      <c r="G347" s="19"/>
    </row>
    <row r="348" spans="1:7" s="20" customFormat="1" ht="15" x14ac:dyDescent="0.25">
      <c r="A348" s="18" t="s">
        <v>32</v>
      </c>
      <c r="B348" s="19"/>
      <c r="D348" s="19"/>
      <c r="E348" s="19"/>
      <c r="F348" s="19"/>
      <c r="G348" s="19"/>
    </row>
    <row r="349" spans="1:7" ht="14.25" x14ac:dyDescent="0.25">
      <c r="A349" s="22" t="s">
        <v>19</v>
      </c>
      <c r="B349" s="23"/>
      <c r="C349" s="24"/>
      <c r="D349" s="23" t="s">
        <v>33</v>
      </c>
      <c r="E349" s="23" t="s">
        <v>33</v>
      </c>
      <c r="F349" s="23" t="s">
        <v>33</v>
      </c>
      <c r="G349" s="23"/>
    </row>
    <row r="350" spans="1:7" ht="14.25" x14ac:dyDescent="0.25">
      <c r="A350" s="22" t="s">
        <v>23</v>
      </c>
      <c r="B350" s="23"/>
      <c r="C350" s="24"/>
      <c r="D350" s="23" t="s">
        <v>33</v>
      </c>
      <c r="E350" s="23" t="s">
        <v>33</v>
      </c>
      <c r="F350" s="23" t="s">
        <v>33</v>
      </c>
      <c r="G350" s="23"/>
    </row>
    <row r="351" spans="1:7" ht="14.25" x14ac:dyDescent="0.25">
      <c r="A351" s="22" t="s">
        <v>24</v>
      </c>
      <c r="B351" s="23"/>
      <c r="C351" s="24"/>
      <c r="D351" s="23">
        <v>50454.550500000005</v>
      </c>
      <c r="E351" s="23">
        <v>50454.550500000005</v>
      </c>
      <c r="F351" s="23">
        <v>50454.550500000005</v>
      </c>
      <c r="G351" s="23"/>
    </row>
    <row r="352" spans="1:7" ht="15" x14ac:dyDescent="0.25">
      <c r="A352" s="27" t="s">
        <v>92</v>
      </c>
      <c r="B352" s="28"/>
      <c r="C352" s="20"/>
      <c r="D352" s="28"/>
      <c r="E352" s="28">
        <v>302727.19200000004</v>
      </c>
      <c r="F352" s="28">
        <v>302727.19200000004</v>
      </c>
      <c r="G352" s="28"/>
    </row>
    <row r="353" spans="1:7" ht="15" x14ac:dyDescent="0.25">
      <c r="A353" s="29" t="s">
        <v>36</v>
      </c>
      <c r="B353" s="30"/>
      <c r="D353" s="30"/>
      <c r="E353" s="30"/>
      <c r="F353" s="30"/>
      <c r="G353" s="30"/>
    </row>
    <row r="354" spans="1:7" ht="14.25" x14ac:dyDescent="0.25">
      <c r="A354" s="16" t="s">
        <v>37</v>
      </c>
      <c r="B354" s="17">
        <v>40000</v>
      </c>
      <c r="D354" s="17">
        <f>40000*100.909091%</f>
        <v>40363.636400000003</v>
      </c>
      <c r="E354" s="17">
        <f>40000*100.909091%</f>
        <v>40363.636400000003</v>
      </c>
      <c r="F354" s="17">
        <f>40000*100.909091%</f>
        <v>40363.636400000003</v>
      </c>
      <c r="G354" s="17"/>
    </row>
    <row r="355" spans="1:7" ht="15" x14ac:dyDescent="0.25">
      <c r="A355" s="18" t="s">
        <v>38</v>
      </c>
      <c r="B355" s="19">
        <v>400000</v>
      </c>
      <c r="C355" s="20"/>
      <c r="D355" s="19">
        <f>200000*100.909091%</f>
        <v>201818.182</v>
      </c>
      <c r="E355" s="19">
        <f>200000*100.909091%</f>
        <v>201818.182</v>
      </c>
      <c r="F355" s="19">
        <f>200000*100.909091%</f>
        <v>201818.182</v>
      </c>
      <c r="G355" s="19"/>
    </row>
    <row r="356" spans="1:7" ht="15" x14ac:dyDescent="0.25">
      <c r="A356" s="18" t="s">
        <v>39</v>
      </c>
      <c r="B356" s="17"/>
      <c r="D356" s="23" t="s">
        <v>22</v>
      </c>
      <c r="E356" s="23" t="s">
        <v>22</v>
      </c>
      <c r="F356" s="23" t="s">
        <v>22</v>
      </c>
      <c r="G356" s="23"/>
    </row>
    <row r="357" spans="1:7" ht="14.25" x14ac:dyDescent="0.25">
      <c r="A357" s="25" t="s">
        <v>40</v>
      </c>
      <c r="B357" s="26"/>
      <c r="C357" s="6"/>
      <c r="D357" s="26"/>
      <c r="E357" s="26"/>
      <c r="F357" s="26"/>
      <c r="G357" s="26"/>
    </row>
    <row r="358" spans="1:7" ht="14.25" x14ac:dyDescent="0.25">
      <c r="A358" s="25" t="s">
        <v>41</v>
      </c>
      <c r="B358" s="26"/>
      <c r="C358" s="6"/>
      <c r="D358" s="26"/>
      <c r="E358" s="26"/>
      <c r="F358" s="26"/>
      <c r="G358" s="26"/>
    </row>
    <row r="359" spans="1:7" ht="14.25" x14ac:dyDescent="0.25">
      <c r="A359" s="16" t="s">
        <v>31</v>
      </c>
      <c r="B359" s="17">
        <f>B354</f>
        <v>40000</v>
      </c>
      <c r="D359" s="17">
        <f>D354</f>
        <v>40363.636400000003</v>
      </c>
      <c r="E359" s="17">
        <f>E354</f>
        <v>40363.636400000003</v>
      </c>
      <c r="F359" s="17">
        <f>F354</f>
        <v>40363.636400000003</v>
      </c>
      <c r="G359" s="17"/>
    </row>
    <row r="360" spans="1:7" ht="14.25" x14ac:dyDescent="0.25">
      <c r="A360" s="16" t="s">
        <v>42</v>
      </c>
      <c r="B360" s="17"/>
      <c r="D360" s="23"/>
      <c r="E360" s="23"/>
      <c r="F360" s="23"/>
      <c r="G360" s="23"/>
    </row>
    <row r="361" spans="1:7" s="24" customFormat="1" ht="14.25" x14ac:dyDescent="0.25">
      <c r="A361" s="22" t="s">
        <v>43</v>
      </c>
      <c r="B361" s="23"/>
      <c r="D361" s="23" t="s">
        <v>22</v>
      </c>
      <c r="E361" s="23" t="s">
        <v>22</v>
      </c>
      <c r="F361" s="23" t="s">
        <v>22</v>
      </c>
      <c r="G361" s="23"/>
    </row>
    <row r="362" spans="1:7" s="24" customFormat="1" ht="14.25" x14ac:dyDescent="0.25">
      <c r="A362" s="22" t="s">
        <v>44</v>
      </c>
      <c r="B362" s="23"/>
      <c r="D362" s="23" t="s">
        <v>22</v>
      </c>
      <c r="E362" s="23" t="s">
        <v>22</v>
      </c>
      <c r="F362" s="23" t="s">
        <v>22</v>
      </c>
      <c r="G362" s="23"/>
    </row>
    <row r="363" spans="1:7" s="24" customFormat="1" ht="14.25" x14ac:dyDescent="0.25">
      <c r="A363" s="22" t="s">
        <v>45</v>
      </c>
      <c r="B363" s="23"/>
      <c r="D363" s="23">
        <v>50454.550500000005</v>
      </c>
      <c r="E363" s="23">
        <v>50454.550500000005</v>
      </c>
      <c r="F363" s="23">
        <v>50454.550500000005</v>
      </c>
      <c r="G363" s="23"/>
    </row>
  </sheetData>
  <sheetProtection algorithmName="SHA-512" hashValue="Ze54pK5gaCahP7XnocFVGwvT1bhXndb3AdjKBtBoGq8nwJ3/zw4j/USpoUvKfRy0ah3A/JnfF3tSctx7j58hRg==" saltValue="LkvC5Jj8LrlqLvbj8s/T2g==" spinCount="100000" sheet="1" objects="1" scenarios="1"/>
  <mergeCells count="23">
    <mergeCell ref="D67:F67"/>
    <mergeCell ref="D5:F5"/>
    <mergeCell ref="D7:E7"/>
    <mergeCell ref="D35:F35"/>
    <mergeCell ref="E37:F37"/>
    <mergeCell ref="D65:F65"/>
    <mergeCell ref="D247:F247"/>
    <mergeCell ref="D95:F95"/>
    <mergeCell ref="D97:F97"/>
    <mergeCell ref="D125:F125"/>
    <mergeCell ref="D127:F127"/>
    <mergeCell ref="D155:F155"/>
    <mergeCell ref="D157:E157"/>
    <mergeCell ref="D185:F185"/>
    <mergeCell ref="D187:E187"/>
    <mergeCell ref="D215:F215"/>
    <mergeCell ref="D217:E217"/>
    <mergeCell ref="D245:F245"/>
    <mergeCell ref="D275:F275"/>
    <mergeCell ref="D277:E277"/>
    <mergeCell ref="D305:F305"/>
    <mergeCell ref="E307:F307"/>
    <mergeCell ref="D335:F33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zoomScale="80" zoomScaleNormal="80" workbookViewId="0">
      <selection activeCell="D5" sqref="D5:F5"/>
    </sheetView>
  </sheetViews>
  <sheetFormatPr defaultColWidth="9.140625" defaultRowHeight="17.100000000000001" customHeight="1" x14ac:dyDescent="0.25"/>
  <cols>
    <col min="1" max="1" width="54.85546875" style="1" customWidth="1"/>
    <col min="2" max="2" width="31.42578125" style="2" bestFit="1" customWidth="1"/>
    <col min="3" max="3" width="1.42578125" style="1" customWidth="1"/>
    <col min="4" max="4" width="37.28515625" style="2" customWidth="1"/>
    <col min="5" max="5" width="38" style="2" customWidth="1"/>
    <col min="6" max="6" width="37.140625" style="2" customWidth="1"/>
    <col min="7" max="7" width="2.42578125" style="1" customWidth="1"/>
    <col min="8" max="8" width="5.5703125" style="1" customWidth="1"/>
    <col min="9" max="9" width="10.7109375" style="1" bestFit="1" customWidth="1"/>
    <col min="10" max="15" width="9.140625" style="1"/>
    <col min="16" max="16" width="10.7109375" style="1" bestFit="1" customWidth="1"/>
    <col min="17" max="16384" width="9.140625" style="1"/>
  </cols>
  <sheetData>
    <row r="1" spans="1:6" ht="14.25" x14ac:dyDescent="0.25"/>
    <row r="2" spans="1:6" ht="20.25" x14ac:dyDescent="0.25">
      <c r="A2" s="4" t="s">
        <v>134</v>
      </c>
      <c r="B2" s="5"/>
      <c r="C2" s="4"/>
      <c r="D2" s="5"/>
      <c r="E2" s="5"/>
    </row>
    <row r="3" spans="1:6" ht="14.25" x14ac:dyDescent="0.25">
      <c r="A3" s="6"/>
    </row>
    <row r="4" spans="1:6" ht="14.25" x14ac:dyDescent="0.25"/>
    <row r="5" spans="1:6" ht="15" x14ac:dyDescent="0.25">
      <c r="B5" s="7" t="s">
        <v>1</v>
      </c>
      <c r="D5" s="96" t="s">
        <v>2</v>
      </c>
      <c r="E5" s="97"/>
      <c r="F5" s="98"/>
    </row>
    <row r="6" spans="1:6" ht="15" x14ac:dyDescent="0.25">
      <c r="A6" s="9" t="s">
        <v>3</v>
      </c>
      <c r="B6" s="10" t="s">
        <v>135</v>
      </c>
      <c r="D6" s="10" t="s">
        <v>5</v>
      </c>
      <c r="E6" s="10" t="s">
        <v>6</v>
      </c>
      <c r="F6" s="10" t="s">
        <v>7</v>
      </c>
    </row>
    <row r="7" spans="1:6" ht="15" x14ac:dyDescent="0.25">
      <c r="A7" s="12" t="s">
        <v>9</v>
      </c>
      <c r="B7" s="13"/>
      <c r="D7" s="100" t="s">
        <v>59</v>
      </c>
      <c r="E7" s="101"/>
      <c r="F7" s="48" t="s">
        <v>120</v>
      </c>
    </row>
    <row r="8" spans="1:6" ht="15" x14ac:dyDescent="0.25">
      <c r="A8" s="14" t="s">
        <v>11</v>
      </c>
      <c r="B8" s="15"/>
      <c r="D8" s="15" t="s">
        <v>108</v>
      </c>
      <c r="E8" s="15" t="s">
        <v>136</v>
      </c>
      <c r="F8" s="15" t="s">
        <v>137</v>
      </c>
    </row>
    <row r="9" spans="1:6" ht="14.25" x14ac:dyDescent="0.25">
      <c r="A9" s="16" t="s">
        <v>16</v>
      </c>
      <c r="B9" s="17">
        <v>140263.63649</v>
      </c>
      <c r="D9" s="17">
        <f>139000*100.909091%</f>
        <v>140263.63649</v>
      </c>
      <c r="E9" s="17">
        <f>139000*100.909091%</f>
        <v>140263.63649</v>
      </c>
      <c r="F9" s="17">
        <f>69000*100.909091%</f>
        <v>69627.272790000003</v>
      </c>
    </row>
    <row r="10" spans="1:6" ht="15" x14ac:dyDescent="0.25">
      <c r="A10" s="18" t="s">
        <v>17</v>
      </c>
      <c r="B10" s="19">
        <v>353181.81849999999</v>
      </c>
      <c r="C10" s="20"/>
      <c r="D10" s="19">
        <f>750000*100.909091%</f>
        <v>756818.1825</v>
      </c>
      <c r="E10" s="19">
        <f>350000*100.909091%</f>
        <v>353181.81849999999</v>
      </c>
      <c r="F10" s="19">
        <f>150000*100.909091%</f>
        <v>151363.63650000002</v>
      </c>
    </row>
    <row r="11" spans="1:6" ht="15" x14ac:dyDescent="0.25">
      <c r="A11" s="18" t="s">
        <v>18</v>
      </c>
      <c r="B11" s="19"/>
      <c r="C11" s="20"/>
      <c r="D11" s="19"/>
      <c r="E11" s="19"/>
      <c r="F11" s="19"/>
    </row>
    <row r="12" spans="1:6" s="24" customFormat="1" ht="14.25" x14ac:dyDescent="0.25">
      <c r="A12" s="22" t="s">
        <v>19</v>
      </c>
      <c r="B12" s="23"/>
      <c r="D12" s="23" t="s">
        <v>138</v>
      </c>
      <c r="E12" s="23" t="s">
        <v>138</v>
      </c>
      <c r="F12" s="23" t="s">
        <v>138</v>
      </c>
    </row>
    <row r="13" spans="1:6" s="24" customFormat="1" ht="14.25" x14ac:dyDescent="0.25">
      <c r="A13" s="22" t="s">
        <v>23</v>
      </c>
      <c r="B13" s="23"/>
      <c r="D13" s="23" t="s">
        <v>138</v>
      </c>
      <c r="E13" s="23" t="s">
        <v>138</v>
      </c>
      <c r="F13" s="23" t="s">
        <v>138</v>
      </c>
    </row>
    <row r="14" spans="1:6" s="24" customFormat="1" ht="14.25" x14ac:dyDescent="0.25">
      <c r="A14" s="22" t="s">
        <v>24</v>
      </c>
      <c r="B14" s="23"/>
      <c r="D14" s="23">
        <v>181636.3596</v>
      </c>
      <c r="E14" s="23">
        <v>151363.64040000003</v>
      </c>
      <c r="F14" s="23">
        <v>151363.64040000003</v>
      </c>
    </row>
    <row r="15" spans="1:6" s="6" customFormat="1" ht="14.25" x14ac:dyDescent="0.25">
      <c r="A15" s="25" t="s">
        <v>26</v>
      </c>
      <c r="B15" s="26"/>
      <c r="D15" s="26"/>
      <c r="E15" s="26"/>
      <c r="F15" s="26"/>
    </row>
    <row r="16" spans="1:6" s="6" customFormat="1" ht="14.25" x14ac:dyDescent="0.25">
      <c r="A16" s="25" t="s">
        <v>29</v>
      </c>
      <c r="B16" s="26"/>
      <c r="D16" s="26" t="s">
        <v>54</v>
      </c>
      <c r="E16" s="53" t="s">
        <v>139</v>
      </c>
      <c r="F16" s="53" t="s">
        <v>139</v>
      </c>
    </row>
    <row r="17" spans="1:6" ht="15" x14ac:dyDescent="0.25">
      <c r="A17" s="18" t="s">
        <v>31</v>
      </c>
      <c r="B17" s="19">
        <f>B9</f>
        <v>140263.63649</v>
      </c>
      <c r="C17" s="20"/>
      <c r="D17" s="19">
        <f>D9</f>
        <v>140263.63649</v>
      </c>
      <c r="E17" s="19">
        <f>E9</f>
        <v>140263.63649</v>
      </c>
      <c r="F17" s="19">
        <f>F9</f>
        <v>69627.272790000003</v>
      </c>
    </row>
    <row r="18" spans="1:6" ht="15" x14ac:dyDescent="0.25">
      <c r="A18" s="18" t="s">
        <v>32</v>
      </c>
      <c r="B18" s="17"/>
      <c r="D18" s="17"/>
      <c r="E18" s="17"/>
      <c r="F18" s="17"/>
    </row>
    <row r="19" spans="1:6" s="24" customFormat="1" ht="14.25" x14ac:dyDescent="0.25">
      <c r="A19" s="22" t="s">
        <v>19</v>
      </c>
      <c r="B19" s="23"/>
      <c r="D19" s="23">
        <v>20181.820200000002</v>
      </c>
      <c r="E19" s="23">
        <v>20181.820200000002</v>
      </c>
      <c r="F19" s="23">
        <v>0</v>
      </c>
    </row>
    <row r="20" spans="1:6" s="24" customFormat="1" ht="14.25" x14ac:dyDescent="0.25">
      <c r="A20" s="22" t="s">
        <v>23</v>
      </c>
      <c r="B20" s="23"/>
      <c r="D20" s="23">
        <v>30272.730300000003</v>
      </c>
      <c r="E20" s="23">
        <v>30272.730300000003</v>
      </c>
      <c r="F20" s="23">
        <v>0</v>
      </c>
    </row>
    <row r="21" spans="1:6" s="24" customFormat="1" ht="14.25" x14ac:dyDescent="0.25">
      <c r="A21" s="22" t="s">
        <v>24</v>
      </c>
      <c r="B21" s="23"/>
      <c r="D21" s="23">
        <v>50454.550500000005</v>
      </c>
      <c r="E21" s="23">
        <v>50454.550500000005</v>
      </c>
      <c r="F21" s="23">
        <v>0</v>
      </c>
    </row>
    <row r="22" spans="1:6" ht="14.25" x14ac:dyDescent="0.25">
      <c r="A22" s="27" t="s">
        <v>34</v>
      </c>
      <c r="B22" s="28"/>
      <c r="D22" s="28">
        <v>302727.19200000004</v>
      </c>
      <c r="E22" s="28">
        <v>302727.19200000004</v>
      </c>
      <c r="F22" s="28">
        <v>302727.19200000004</v>
      </c>
    </row>
    <row r="23" spans="1:6" ht="15" x14ac:dyDescent="0.25">
      <c r="A23" s="29" t="s">
        <v>36</v>
      </c>
      <c r="B23" s="30"/>
      <c r="D23" s="30"/>
      <c r="E23" s="30"/>
      <c r="F23" s="30"/>
    </row>
    <row r="24" spans="1:6" ht="14.25" x14ac:dyDescent="0.25">
      <c r="A24" s="16" t="s">
        <v>37</v>
      </c>
      <c r="B24" s="17">
        <v>50000</v>
      </c>
      <c r="D24" s="17">
        <f>50000*100.909091%</f>
        <v>50454.5455</v>
      </c>
      <c r="E24" s="17">
        <f>50000*100.909091%</f>
        <v>50454.5455</v>
      </c>
      <c r="F24" s="17">
        <f>34500*100.909091%</f>
        <v>34813.636395000001</v>
      </c>
    </row>
    <row r="25" spans="1:6" s="20" customFormat="1" ht="15" x14ac:dyDescent="0.25">
      <c r="A25" s="18" t="s">
        <v>38</v>
      </c>
      <c r="B25" s="19">
        <v>300000</v>
      </c>
      <c r="D25" s="19">
        <f>300000*100.909091%</f>
        <v>302727.27300000004</v>
      </c>
      <c r="E25" s="19">
        <f>150000*100.909091%</f>
        <v>151363.63650000002</v>
      </c>
      <c r="F25" s="19">
        <f>150000*100.909091%</f>
        <v>151363.63650000002</v>
      </c>
    </row>
    <row r="26" spans="1:6" ht="15" x14ac:dyDescent="0.25">
      <c r="A26" s="18" t="s">
        <v>39</v>
      </c>
      <c r="B26" s="17"/>
      <c r="D26" s="23" t="s">
        <v>22</v>
      </c>
      <c r="E26" s="23" t="s">
        <v>22</v>
      </c>
      <c r="F26" s="23" t="s">
        <v>22</v>
      </c>
    </row>
    <row r="27" spans="1:6" s="6" customFormat="1" ht="14.25" x14ac:dyDescent="0.25">
      <c r="A27" s="25" t="s">
        <v>40</v>
      </c>
      <c r="B27" s="26"/>
      <c r="D27" s="26"/>
      <c r="E27" s="26"/>
      <c r="F27" s="26"/>
    </row>
    <row r="28" spans="1:6" s="6" customFormat="1" ht="14.25" x14ac:dyDescent="0.25">
      <c r="A28" s="25" t="s">
        <v>41</v>
      </c>
      <c r="B28" s="26"/>
      <c r="D28" s="26"/>
      <c r="E28" s="26"/>
      <c r="F28" s="26"/>
    </row>
    <row r="29" spans="1:6" ht="15" x14ac:dyDescent="0.25">
      <c r="A29" s="18" t="s">
        <v>31</v>
      </c>
      <c r="B29" s="17">
        <v>50000</v>
      </c>
      <c r="D29" s="17">
        <f>D24</f>
        <v>50454.5455</v>
      </c>
      <c r="E29" s="17">
        <f>E24</f>
        <v>50454.5455</v>
      </c>
      <c r="F29" s="17">
        <f>F24</f>
        <v>34813.636395000001</v>
      </c>
    </row>
    <row r="30" spans="1:6" ht="15" x14ac:dyDescent="0.25">
      <c r="A30" s="18" t="s">
        <v>42</v>
      </c>
      <c r="B30" s="17"/>
      <c r="D30" s="23"/>
      <c r="E30" s="23"/>
      <c r="F30" s="23"/>
    </row>
    <row r="31" spans="1:6" s="24" customFormat="1" ht="14.25" x14ac:dyDescent="0.25">
      <c r="A31" s="22" t="s">
        <v>43</v>
      </c>
      <c r="B31" s="23"/>
      <c r="D31" s="23" t="s">
        <v>22</v>
      </c>
      <c r="E31" s="23" t="s">
        <v>22</v>
      </c>
      <c r="F31" s="23" t="s">
        <v>22</v>
      </c>
    </row>
    <row r="32" spans="1:6" s="24" customFormat="1" ht="14.25" x14ac:dyDescent="0.25">
      <c r="A32" s="22" t="s">
        <v>44</v>
      </c>
      <c r="B32" s="23"/>
      <c r="D32" s="23" t="s">
        <v>22</v>
      </c>
      <c r="E32" s="23" t="s">
        <v>22</v>
      </c>
      <c r="F32" s="23" t="s">
        <v>22</v>
      </c>
    </row>
    <row r="33" spans="1:6" s="24" customFormat="1" ht="14.25" x14ac:dyDescent="0.25">
      <c r="A33" s="22" t="s">
        <v>45</v>
      </c>
      <c r="B33" s="23"/>
      <c r="D33" s="23">
        <v>50454.550500000005</v>
      </c>
      <c r="E33" s="23">
        <v>50454.550500000005</v>
      </c>
      <c r="F33" s="23">
        <v>50454.550500000005</v>
      </c>
    </row>
    <row r="34" spans="1:6" s="24" customFormat="1" ht="14.25" x14ac:dyDescent="0.25">
      <c r="A34" s="55"/>
      <c r="B34" s="56"/>
      <c r="D34" s="56"/>
      <c r="E34" s="56"/>
      <c r="F34" s="56"/>
    </row>
    <row r="35" spans="1:6" ht="15" x14ac:dyDescent="0.25">
      <c r="B35" s="7" t="s">
        <v>1</v>
      </c>
      <c r="D35" s="96" t="s">
        <v>2</v>
      </c>
      <c r="E35" s="97"/>
      <c r="F35" s="98"/>
    </row>
    <row r="36" spans="1:6" ht="15" x14ac:dyDescent="0.25">
      <c r="A36" s="9" t="s">
        <v>3</v>
      </c>
      <c r="B36" s="10" t="s">
        <v>140</v>
      </c>
      <c r="D36" s="10" t="s">
        <v>5</v>
      </c>
      <c r="E36" s="10" t="s">
        <v>6</v>
      </c>
      <c r="F36" s="10" t="s">
        <v>7</v>
      </c>
    </row>
    <row r="37" spans="1:6" ht="15" x14ac:dyDescent="0.25">
      <c r="A37" s="12" t="s">
        <v>9</v>
      </c>
      <c r="B37" s="13"/>
      <c r="D37" s="100" t="s">
        <v>59</v>
      </c>
      <c r="E37" s="101"/>
      <c r="F37" s="48" t="s">
        <v>120</v>
      </c>
    </row>
    <row r="38" spans="1:6" ht="15" x14ac:dyDescent="0.25">
      <c r="A38" s="14" t="s">
        <v>11</v>
      </c>
      <c r="B38" s="15"/>
      <c r="D38" s="15" t="s">
        <v>84</v>
      </c>
      <c r="E38" s="15" t="s">
        <v>117</v>
      </c>
      <c r="F38" s="15" t="s">
        <v>137</v>
      </c>
    </row>
    <row r="39" spans="1:6" ht="14.25" x14ac:dyDescent="0.25">
      <c r="A39" s="16" t="s">
        <v>16</v>
      </c>
      <c r="B39" s="17">
        <f>99000*100.909091%</f>
        <v>99900.000090000001</v>
      </c>
      <c r="D39" s="17">
        <f>99000*100.909091%</f>
        <v>99900.000090000001</v>
      </c>
      <c r="E39" s="17">
        <f>99000*100.909091%</f>
        <v>99900.000090000001</v>
      </c>
      <c r="F39" s="17">
        <f>69000*100.909091%</f>
        <v>69627.272790000003</v>
      </c>
    </row>
    <row r="40" spans="1:6" ht="15" x14ac:dyDescent="0.25">
      <c r="A40" s="18" t="s">
        <v>17</v>
      </c>
      <c r="B40" s="19">
        <f>297000*100.909091%</f>
        <v>299700.00027000002</v>
      </c>
      <c r="C40" s="20"/>
      <c r="D40" s="19">
        <f>495000*100.909091%</f>
        <v>499500.00045000005</v>
      </c>
      <c r="E40" s="19">
        <f>297000*100.909091%</f>
        <v>299700.00027000002</v>
      </c>
      <c r="F40" s="19">
        <f>150000*100.909091%</f>
        <v>151363.63650000002</v>
      </c>
    </row>
    <row r="41" spans="1:6" ht="15" x14ac:dyDescent="0.25">
      <c r="A41" s="18" t="s">
        <v>18</v>
      </c>
      <c r="B41" s="19"/>
      <c r="C41" s="20"/>
      <c r="D41" s="19"/>
      <c r="E41" s="19"/>
      <c r="F41" s="19"/>
    </row>
    <row r="42" spans="1:6" s="24" customFormat="1" ht="14.25" x14ac:dyDescent="0.25">
      <c r="A42" s="22" t="s">
        <v>19</v>
      </c>
      <c r="B42" s="23"/>
      <c r="D42" s="23">
        <v>100909.08990000001</v>
      </c>
      <c r="E42" s="23" t="s">
        <v>138</v>
      </c>
      <c r="F42" s="23" t="s">
        <v>138</v>
      </c>
    </row>
    <row r="43" spans="1:6" s="24" customFormat="1" ht="14.25" x14ac:dyDescent="0.25">
      <c r="A43" s="22" t="s">
        <v>23</v>
      </c>
      <c r="B43" s="23"/>
      <c r="D43" s="23">
        <v>151363.64040000003</v>
      </c>
      <c r="E43" s="23" t="s">
        <v>138</v>
      </c>
      <c r="F43" s="23" t="s">
        <v>138</v>
      </c>
    </row>
    <row r="44" spans="1:6" s="24" customFormat="1" ht="14.25" x14ac:dyDescent="0.25">
      <c r="A44" s="22" t="s">
        <v>24</v>
      </c>
      <c r="B44" s="23"/>
      <c r="D44" s="23">
        <v>181636.3596</v>
      </c>
      <c r="E44" s="23">
        <v>151363.64040000003</v>
      </c>
      <c r="F44" s="23">
        <v>151363.64040000003</v>
      </c>
    </row>
    <row r="45" spans="1:6" s="6" customFormat="1" ht="14.25" x14ac:dyDescent="0.25">
      <c r="A45" s="25" t="s">
        <v>26</v>
      </c>
      <c r="B45" s="26"/>
      <c r="D45" s="26" t="s">
        <v>52</v>
      </c>
      <c r="E45" s="26"/>
      <c r="F45" s="26"/>
    </row>
    <row r="46" spans="1:6" s="6" customFormat="1" ht="14.25" x14ac:dyDescent="0.25">
      <c r="A46" s="25" t="s">
        <v>29</v>
      </c>
      <c r="B46" s="26"/>
      <c r="D46" s="26" t="s">
        <v>54</v>
      </c>
      <c r="E46" s="53" t="s">
        <v>139</v>
      </c>
      <c r="F46" s="53" t="s">
        <v>139</v>
      </c>
    </row>
    <row r="47" spans="1:6" ht="15" x14ac:dyDescent="0.25">
      <c r="A47" s="18" t="s">
        <v>31</v>
      </c>
      <c r="B47" s="19">
        <f>B39</f>
        <v>99900.000090000001</v>
      </c>
      <c r="C47" s="20"/>
      <c r="D47" s="19">
        <f>D39</f>
        <v>99900.000090000001</v>
      </c>
      <c r="E47" s="19">
        <f>E39</f>
        <v>99900.000090000001</v>
      </c>
      <c r="F47" s="19">
        <f>F39</f>
        <v>69627.272790000003</v>
      </c>
    </row>
    <row r="48" spans="1:6" ht="15" x14ac:dyDescent="0.25">
      <c r="A48" s="18" t="s">
        <v>32</v>
      </c>
      <c r="B48" s="17"/>
      <c r="D48" s="17"/>
      <c r="E48" s="17"/>
      <c r="F48" s="17"/>
    </row>
    <row r="49" spans="1:6" s="24" customFormat="1" ht="14.25" x14ac:dyDescent="0.25">
      <c r="A49" s="22" t="s">
        <v>19</v>
      </c>
      <c r="B49" s="23"/>
      <c r="D49" s="23">
        <v>20181.820200000002</v>
      </c>
      <c r="E49" s="23">
        <v>20181.820200000002</v>
      </c>
      <c r="F49" s="23">
        <v>0</v>
      </c>
    </row>
    <row r="50" spans="1:6" s="24" customFormat="1" ht="14.25" x14ac:dyDescent="0.25">
      <c r="A50" s="22" t="s">
        <v>23</v>
      </c>
      <c r="B50" s="23"/>
      <c r="D50" s="23">
        <v>30272.730300000003</v>
      </c>
      <c r="E50" s="23">
        <v>30272.730300000003</v>
      </c>
      <c r="F50" s="23">
        <v>0</v>
      </c>
    </row>
    <row r="51" spans="1:6" s="24" customFormat="1" ht="14.25" x14ac:dyDescent="0.25">
      <c r="A51" s="22" t="s">
        <v>24</v>
      </c>
      <c r="B51" s="23"/>
      <c r="D51" s="23">
        <v>50454.550500000005</v>
      </c>
      <c r="E51" s="23">
        <v>50454.550500000005</v>
      </c>
      <c r="F51" s="23">
        <v>0</v>
      </c>
    </row>
    <row r="52" spans="1:6" ht="14.25" x14ac:dyDescent="0.25">
      <c r="A52" s="27" t="s">
        <v>34</v>
      </c>
      <c r="B52" s="28"/>
      <c r="D52" s="28">
        <v>302727.19200000004</v>
      </c>
      <c r="E52" s="28">
        <v>302727.19200000004</v>
      </c>
      <c r="F52" s="28">
        <v>302727.19200000004</v>
      </c>
    </row>
    <row r="53" spans="1:6" ht="15" x14ac:dyDescent="0.25">
      <c r="A53" s="29" t="s">
        <v>36</v>
      </c>
      <c r="B53" s="30"/>
      <c r="D53" s="30"/>
      <c r="E53" s="30"/>
      <c r="F53" s="30"/>
    </row>
    <row r="54" spans="1:6" ht="14.25" x14ac:dyDescent="0.25">
      <c r="A54" s="16" t="s">
        <v>37</v>
      </c>
      <c r="B54" s="17">
        <v>50000</v>
      </c>
      <c r="D54" s="17">
        <f>99000*100.909091%</f>
        <v>99900.000090000001</v>
      </c>
      <c r="E54" s="17">
        <f>50000*100.909091%</f>
        <v>50454.5455</v>
      </c>
      <c r="F54" s="17">
        <f>34500*100.909091%</f>
        <v>34813.636395000001</v>
      </c>
    </row>
    <row r="55" spans="1:6" s="20" customFormat="1" ht="15" x14ac:dyDescent="0.25">
      <c r="A55" s="18" t="s">
        <v>38</v>
      </c>
      <c r="B55" s="19">
        <v>300000</v>
      </c>
      <c r="D55" s="19">
        <f>300000*100.909091%</f>
        <v>302727.27300000004</v>
      </c>
      <c r="E55" s="19">
        <f>150000*100.909091%</f>
        <v>151363.63650000002</v>
      </c>
      <c r="F55" s="19">
        <f>150000*100.909091%</f>
        <v>151363.63650000002</v>
      </c>
    </row>
    <row r="56" spans="1:6" ht="15" x14ac:dyDescent="0.25">
      <c r="A56" s="18" t="s">
        <v>39</v>
      </c>
      <c r="B56" s="17"/>
      <c r="D56" s="23" t="s">
        <v>22</v>
      </c>
      <c r="E56" s="23" t="s">
        <v>22</v>
      </c>
      <c r="F56" s="23" t="s">
        <v>22</v>
      </c>
    </row>
    <row r="57" spans="1:6" s="6" customFormat="1" ht="14.25" x14ac:dyDescent="0.25">
      <c r="A57" s="25" t="s">
        <v>40</v>
      </c>
      <c r="B57" s="26"/>
      <c r="D57" s="26"/>
      <c r="E57" s="26"/>
      <c r="F57" s="26"/>
    </row>
    <row r="58" spans="1:6" s="6" customFormat="1" ht="14.25" x14ac:dyDescent="0.25">
      <c r="A58" s="25" t="s">
        <v>41</v>
      </c>
      <c r="B58" s="26"/>
      <c r="D58" s="26"/>
      <c r="E58" s="26"/>
      <c r="F58" s="26"/>
    </row>
    <row r="59" spans="1:6" ht="15" x14ac:dyDescent="0.25">
      <c r="A59" s="18" t="s">
        <v>31</v>
      </c>
      <c r="B59" s="17">
        <v>50000</v>
      </c>
      <c r="D59" s="17">
        <f>D54</f>
        <v>99900.000090000001</v>
      </c>
      <c r="E59" s="17">
        <f>E54</f>
        <v>50454.5455</v>
      </c>
      <c r="F59" s="17">
        <f>F54</f>
        <v>34813.636395000001</v>
      </c>
    </row>
    <row r="60" spans="1:6" ht="15" x14ac:dyDescent="0.25">
      <c r="A60" s="18" t="s">
        <v>42</v>
      </c>
      <c r="B60" s="17"/>
      <c r="D60" s="23"/>
      <c r="E60" s="23"/>
      <c r="F60" s="23"/>
    </row>
    <row r="61" spans="1:6" s="24" customFormat="1" ht="14.25" x14ac:dyDescent="0.25">
      <c r="A61" s="22" t="s">
        <v>43</v>
      </c>
      <c r="B61" s="23"/>
      <c r="D61" s="23" t="s">
        <v>22</v>
      </c>
      <c r="E61" s="23" t="s">
        <v>22</v>
      </c>
      <c r="F61" s="23" t="s">
        <v>22</v>
      </c>
    </row>
    <row r="62" spans="1:6" s="24" customFormat="1" ht="14.25" x14ac:dyDescent="0.25">
      <c r="A62" s="22" t="s">
        <v>44</v>
      </c>
      <c r="B62" s="23"/>
      <c r="D62" s="23" t="s">
        <v>22</v>
      </c>
      <c r="E62" s="23" t="s">
        <v>22</v>
      </c>
      <c r="F62" s="23" t="s">
        <v>22</v>
      </c>
    </row>
    <row r="63" spans="1:6" s="24" customFormat="1" ht="14.25" x14ac:dyDescent="0.25">
      <c r="A63" s="22" t="s">
        <v>45</v>
      </c>
      <c r="B63" s="23"/>
      <c r="D63" s="23">
        <v>50454.550500000005</v>
      </c>
      <c r="E63" s="23">
        <v>50454.550500000005</v>
      </c>
      <c r="F63" s="23">
        <v>50454.550500000005</v>
      </c>
    </row>
    <row r="65" spans="1:6" ht="15" x14ac:dyDescent="0.25">
      <c r="B65" s="7" t="s">
        <v>1</v>
      </c>
      <c r="D65" s="96" t="s">
        <v>2</v>
      </c>
      <c r="E65" s="97"/>
      <c r="F65" s="98"/>
    </row>
    <row r="66" spans="1:6" ht="15" x14ac:dyDescent="0.25">
      <c r="A66" s="9" t="s">
        <v>3</v>
      </c>
      <c r="B66" s="10" t="s">
        <v>141</v>
      </c>
      <c r="D66" s="10" t="s">
        <v>5</v>
      </c>
      <c r="E66" s="10" t="s">
        <v>6</v>
      </c>
      <c r="F66" s="10" t="s">
        <v>7</v>
      </c>
    </row>
    <row r="67" spans="1:6" ht="15" x14ac:dyDescent="0.25">
      <c r="A67" s="12" t="s">
        <v>9</v>
      </c>
      <c r="B67" s="13"/>
      <c r="D67" s="99" t="s">
        <v>74</v>
      </c>
      <c r="E67" s="100"/>
      <c r="F67" s="101"/>
    </row>
    <row r="68" spans="1:6" ht="15" x14ac:dyDescent="0.25">
      <c r="A68" s="14" t="s">
        <v>11</v>
      </c>
      <c r="B68" s="15"/>
      <c r="D68" s="15" t="s">
        <v>86</v>
      </c>
      <c r="E68" s="15" t="s">
        <v>142</v>
      </c>
      <c r="F68" s="54" t="s">
        <v>143</v>
      </c>
    </row>
    <row r="69" spans="1:6" ht="14.25" x14ac:dyDescent="0.25">
      <c r="A69" s="16" t="s">
        <v>16</v>
      </c>
      <c r="B69" s="17">
        <f>79000*100.909091%</f>
        <v>79718.181890000007</v>
      </c>
      <c r="D69" s="17">
        <f>79000*100.909091%</f>
        <v>79718.181890000007</v>
      </c>
      <c r="E69" s="17">
        <f>79000*100.909091%</f>
        <v>79718.181890000007</v>
      </c>
      <c r="F69" s="17">
        <v>59536</v>
      </c>
    </row>
    <row r="70" spans="1:6" ht="15" x14ac:dyDescent="0.25">
      <c r="A70" s="18" t="s">
        <v>17</v>
      </c>
      <c r="B70" s="19">
        <f>150000*100.909091%</f>
        <v>151363.63650000002</v>
      </c>
      <c r="C70" s="20"/>
      <c r="D70" s="19">
        <f>420000*100.909091%</f>
        <v>423818.18220000004</v>
      </c>
      <c r="E70" s="19">
        <f>150000*100.909091%</f>
        <v>151363.63650000002</v>
      </c>
      <c r="F70" s="19">
        <f>100000*100.909091%</f>
        <v>100909.091</v>
      </c>
    </row>
    <row r="71" spans="1:6" ht="15" x14ac:dyDescent="0.25">
      <c r="A71" s="18" t="s">
        <v>18</v>
      </c>
      <c r="B71" s="19"/>
      <c r="C71" s="20"/>
      <c r="D71" s="19"/>
      <c r="E71" s="19"/>
      <c r="F71" s="19"/>
    </row>
    <row r="72" spans="1:6" s="24" customFormat="1" ht="14.25" x14ac:dyDescent="0.25">
      <c r="A72" s="22" t="s">
        <v>19</v>
      </c>
      <c r="B72" s="23"/>
      <c r="D72" s="23" t="s">
        <v>51</v>
      </c>
      <c r="E72" s="23" t="s">
        <v>51</v>
      </c>
      <c r="F72" s="23" t="s">
        <v>138</v>
      </c>
    </row>
    <row r="73" spans="1:6" s="24" customFormat="1" ht="14.25" x14ac:dyDescent="0.25">
      <c r="A73" s="22" t="s">
        <v>23</v>
      </c>
      <c r="B73" s="23"/>
      <c r="D73" s="23" t="s">
        <v>51</v>
      </c>
      <c r="E73" s="23" t="s">
        <v>51</v>
      </c>
      <c r="F73" s="23" t="s">
        <v>138</v>
      </c>
    </row>
    <row r="74" spans="1:6" s="24" customFormat="1" ht="14.25" x14ac:dyDescent="0.25">
      <c r="A74" s="22" t="s">
        <v>24</v>
      </c>
      <c r="B74" s="23"/>
      <c r="D74" s="23"/>
      <c r="E74" s="23"/>
      <c r="F74" s="23"/>
    </row>
    <row r="75" spans="1:6" s="6" customFormat="1" ht="14.25" x14ac:dyDescent="0.25">
      <c r="A75" s="25" t="s">
        <v>26</v>
      </c>
      <c r="B75" s="26"/>
      <c r="D75" s="26"/>
      <c r="E75" s="26"/>
      <c r="F75" s="26"/>
    </row>
    <row r="76" spans="1:6" s="6" customFormat="1" ht="14.25" x14ac:dyDescent="0.25">
      <c r="A76" s="25" t="s">
        <v>29</v>
      </c>
      <c r="B76" s="26"/>
      <c r="D76" s="26" t="s">
        <v>78</v>
      </c>
      <c r="E76" s="39" t="s">
        <v>118</v>
      </c>
      <c r="F76" s="39" t="s">
        <v>118</v>
      </c>
    </row>
    <row r="77" spans="1:6" ht="15" x14ac:dyDescent="0.25">
      <c r="A77" s="18" t="s">
        <v>31</v>
      </c>
      <c r="B77" s="19">
        <f>B69</f>
        <v>79718.181890000007</v>
      </c>
      <c r="C77" s="20"/>
      <c r="D77" s="19">
        <f>D69</f>
        <v>79718.181890000007</v>
      </c>
      <c r="E77" s="19">
        <f>E69</f>
        <v>79718.181890000007</v>
      </c>
      <c r="F77" s="19">
        <f>F69</f>
        <v>59536</v>
      </c>
    </row>
    <row r="78" spans="1:6" ht="15" x14ac:dyDescent="0.25">
      <c r="A78" s="18" t="s">
        <v>32</v>
      </c>
      <c r="B78" s="17"/>
      <c r="D78" s="17"/>
      <c r="E78" s="17"/>
      <c r="F78" s="17"/>
    </row>
    <row r="79" spans="1:6" s="24" customFormat="1" ht="14.25" x14ac:dyDescent="0.25">
      <c r="A79" s="22" t="s">
        <v>19</v>
      </c>
      <c r="B79" s="23"/>
      <c r="D79" s="23" t="s">
        <v>33</v>
      </c>
      <c r="E79" s="23" t="s">
        <v>33</v>
      </c>
      <c r="F79" s="23">
        <v>0</v>
      </c>
    </row>
    <row r="80" spans="1:6" s="24" customFormat="1" ht="14.25" x14ac:dyDescent="0.25">
      <c r="A80" s="22" t="s">
        <v>23</v>
      </c>
      <c r="B80" s="23"/>
      <c r="D80" s="23" t="s">
        <v>33</v>
      </c>
      <c r="E80" s="23" t="s">
        <v>33</v>
      </c>
      <c r="F80" s="23">
        <v>0</v>
      </c>
    </row>
    <row r="81" spans="1:6" s="24" customFormat="1" ht="14.25" x14ac:dyDescent="0.25">
      <c r="A81" s="22" t="s">
        <v>24</v>
      </c>
      <c r="B81" s="23"/>
      <c r="D81" s="23">
        <v>50454.550500000005</v>
      </c>
      <c r="E81" s="23">
        <v>50454.550500000005</v>
      </c>
      <c r="F81" s="23">
        <v>0</v>
      </c>
    </row>
    <row r="82" spans="1:6" ht="14.25" x14ac:dyDescent="0.25">
      <c r="A82" s="27" t="s">
        <v>34</v>
      </c>
      <c r="B82" s="28"/>
      <c r="D82" s="28">
        <v>302727.19200000004</v>
      </c>
      <c r="E82" s="28">
        <v>302727.19200000004</v>
      </c>
      <c r="F82" s="28">
        <v>302727.19200000004</v>
      </c>
    </row>
    <row r="83" spans="1:6" ht="15" x14ac:dyDescent="0.25">
      <c r="A83" s="29" t="s">
        <v>36</v>
      </c>
      <c r="B83" s="30"/>
      <c r="D83" s="30"/>
      <c r="E83" s="30"/>
      <c r="F83" s="30"/>
    </row>
    <row r="84" spans="1:6" ht="14.25" x14ac:dyDescent="0.25">
      <c r="A84" s="16" t="s">
        <v>37</v>
      </c>
      <c r="B84" s="17">
        <v>40000</v>
      </c>
      <c r="D84" s="17">
        <f>40000*100.909091%</f>
        <v>40363.636400000003</v>
      </c>
      <c r="E84" s="17">
        <f>40000*100.909091%</f>
        <v>40363.636400000003</v>
      </c>
      <c r="F84" s="17">
        <f>59000*100.909091%</f>
        <v>59536.363690000006</v>
      </c>
    </row>
    <row r="85" spans="1:6" s="20" customFormat="1" ht="15" x14ac:dyDescent="0.25">
      <c r="A85" s="18" t="s">
        <v>38</v>
      </c>
      <c r="B85" s="19">
        <v>150000</v>
      </c>
      <c r="D85" s="19">
        <f>200000*100.909091%</f>
        <v>201818.182</v>
      </c>
      <c r="E85" s="46">
        <f>(109090.91*1.1)*100.909091%</f>
        <v>121090.91020909093</v>
      </c>
      <c r="F85" s="19">
        <f>100000*100.909091%</f>
        <v>100909.091</v>
      </c>
    </row>
    <row r="86" spans="1:6" ht="15" x14ac:dyDescent="0.25">
      <c r="A86" s="18" t="s">
        <v>39</v>
      </c>
      <c r="B86" s="17"/>
      <c r="D86" s="23" t="s">
        <v>22</v>
      </c>
      <c r="E86" s="23" t="s">
        <v>22</v>
      </c>
      <c r="F86" s="23" t="s">
        <v>22</v>
      </c>
    </row>
    <row r="87" spans="1:6" s="6" customFormat="1" ht="14.25" x14ac:dyDescent="0.25">
      <c r="A87" s="25" t="s">
        <v>40</v>
      </c>
      <c r="B87" s="26"/>
      <c r="D87" s="26"/>
      <c r="E87" s="26"/>
      <c r="F87" s="26"/>
    </row>
    <row r="88" spans="1:6" s="6" customFormat="1" ht="14.25" x14ac:dyDescent="0.25">
      <c r="A88" s="25" t="s">
        <v>41</v>
      </c>
      <c r="B88" s="26"/>
      <c r="D88" s="26"/>
      <c r="E88" s="26"/>
      <c r="F88" s="26"/>
    </row>
    <row r="89" spans="1:6" ht="15" x14ac:dyDescent="0.25">
      <c r="A89" s="18" t="s">
        <v>31</v>
      </c>
      <c r="B89" s="17">
        <v>40000</v>
      </c>
      <c r="D89" s="17">
        <f>D84</f>
        <v>40363.636400000003</v>
      </c>
      <c r="E89" s="17">
        <f>E84</f>
        <v>40363.636400000003</v>
      </c>
      <c r="F89" s="17">
        <f>F84</f>
        <v>59536.363690000006</v>
      </c>
    </row>
    <row r="90" spans="1:6" ht="15" x14ac:dyDescent="0.25">
      <c r="A90" s="18" t="s">
        <v>42</v>
      </c>
      <c r="B90" s="17"/>
      <c r="D90" s="23"/>
      <c r="E90" s="23"/>
      <c r="F90" s="23"/>
    </row>
    <row r="91" spans="1:6" s="24" customFormat="1" ht="14.25" x14ac:dyDescent="0.25">
      <c r="A91" s="22" t="s">
        <v>43</v>
      </c>
      <c r="B91" s="23"/>
      <c r="D91" s="23" t="s">
        <v>22</v>
      </c>
      <c r="E91" s="23" t="s">
        <v>22</v>
      </c>
      <c r="F91" s="23" t="s">
        <v>22</v>
      </c>
    </row>
    <row r="92" spans="1:6" s="24" customFormat="1" ht="14.25" x14ac:dyDescent="0.25">
      <c r="A92" s="22" t="s">
        <v>44</v>
      </c>
      <c r="B92" s="23"/>
      <c r="D92" s="23" t="s">
        <v>22</v>
      </c>
      <c r="E92" s="23" t="s">
        <v>22</v>
      </c>
      <c r="F92" s="23" t="s">
        <v>22</v>
      </c>
    </row>
    <row r="93" spans="1:6" s="24" customFormat="1" ht="14.25" x14ac:dyDescent="0.25">
      <c r="A93" s="22" t="s">
        <v>45</v>
      </c>
      <c r="B93" s="23"/>
      <c r="D93" s="23">
        <v>50454.550500000005</v>
      </c>
      <c r="E93" s="23">
        <v>50454.550500000005</v>
      </c>
      <c r="F93" s="23">
        <v>50454.550500000005</v>
      </c>
    </row>
    <row r="95" spans="1:6" ht="15" x14ac:dyDescent="0.25">
      <c r="B95" s="7" t="s">
        <v>1</v>
      </c>
      <c r="D95" s="96" t="s">
        <v>2</v>
      </c>
      <c r="E95" s="97"/>
      <c r="F95" s="98"/>
    </row>
    <row r="96" spans="1:6" ht="15" x14ac:dyDescent="0.25">
      <c r="A96" s="9" t="s">
        <v>3</v>
      </c>
      <c r="B96" s="10" t="s">
        <v>144</v>
      </c>
      <c r="D96" s="10" t="s">
        <v>5</v>
      </c>
      <c r="E96" s="10" t="s">
        <v>6</v>
      </c>
      <c r="F96" s="10" t="s">
        <v>7</v>
      </c>
    </row>
    <row r="97" spans="1:6" ht="15" x14ac:dyDescent="0.25">
      <c r="A97" s="12" t="s">
        <v>9</v>
      </c>
      <c r="B97" s="13"/>
      <c r="D97" s="100" t="s">
        <v>59</v>
      </c>
      <c r="E97" s="100"/>
      <c r="F97" s="101"/>
    </row>
    <row r="98" spans="1:6" ht="15" x14ac:dyDescent="0.25">
      <c r="A98" s="14" t="s">
        <v>11</v>
      </c>
      <c r="B98" s="15"/>
      <c r="D98" s="54" t="s">
        <v>84</v>
      </c>
      <c r="E98" s="54" t="s">
        <v>145</v>
      </c>
      <c r="F98" s="54" t="s">
        <v>145</v>
      </c>
    </row>
    <row r="99" spans="1:6" ht="14.25" x14ac:dyDescent="0.25">
      <c r="A99" s="16" t="s">
        <v>16</v>
      </c>
      <c r="B99" s="17">
        <v>99900.000090000001</v>
      </c>
      <c r="D99" s="17">
        <f>99000*100.909091%</f>
        <v>99900.000090000001</v>
      </c>
      <c r="E99" s="17">
        <f>99000*100.909091%</f>
        <v>99900.000090000001</v>
      </c>
      <c r="F99" s="17">
        <f>99000*100.909091%</f>
        <v>99900.000090000001</v>
      </c>
    </row>
    <row r="100" spans="1:6" ht="15" x14ac:dyDescent="0.25">
      <c r="A100" s="18" t="s">
        <v>17</v>
      </c>
      <c r="B100" s="19">
        <v>209790</v>
      </c>
      <c r="C100" s="20"/>
      <c r="D100" s="19">
        <f>495000*100.909091%</f>
        <v>499500.00045000005</v>
      </c>
      <c r="E100" s="19">
        <v>209790</v>
      </c>
      <c r="F100" s="19">
        <v>209790</v>
      </c>
    </row>
    <row r="101" spans="1:6" ht="15" x14ac:dyDescent="0.25">
      <c r="A101" s="18" t="s">
        <v>18</v>
      </c>
      <c r="B101" s="19"/>
      <c r="C101" s="20"/>
      <c r="D101" s="19"/>
      <c r="E101" s="19"/>
      <c r="F101" s="19"/>
    </row>
    <row r="102" spans="1:6" ht="14.25" x14ac:dyDescent="0.25">
      <c r="A102" s="22" t="s">
        <v>19</v>
      </c>
      <c r="B102" s="23"/>
      <c r="C102" s="24"/>
      <c r="D102" s="23">
        <v>100909.08990000001</v>
      </c>
      <c r="E102" s="23" t="s">
        <v>51</v>
      </c>
      <c r="F102" s="23" t="s">
        <v>51</v>
      </c>
    </row>
    <row r="103" spans="1:6" ht="14.25" x14ac:dyDescent="0.25">
      <c r="A103" s="22" t="s">
        <v>23</v>
      </c>
      <c r="B103" s="23"/>
      <c r="C103" s="24"/>
      <c r="D103" s="23">
        <v>151363.64040000003</v>
      </c>
      <c r="E103" s="23" t="s">
        <v>51</v>
      </c>
      <c r="F103" s="23" t="s">
        <v>51</v>
      </c>
    </row>
    <row r="104" spans="1:6" ht="14.25" x14ac:dyDescent="0.25">
      <c r="A104" s="22" t="s">
        <v>24</v>
      </c>
      <c r="B104" s="23"/>
      <c r="C104" s="24"/>
      <c r="D104" s="23">
        <v>181636.3596</v>
      </c>
      <c r="E104" s="23">
        <v>151363.64040000003</v>
      </c>
      <c r="F104" s="23">
        <v>151363.64040000003</v>
      </c>
    </row>
    <row r="105" spans="1:6" ht="14.25" x14ac:dyDescent="0.25">
      <c r="A105" s="25" t="s">
        <v>26</v>
      </c>
      <c r="B105" s="26"/>
      <c r="C105" s="6"/>
      <c r="D105" s="26" t="s">
        <v>52</v>
      </c>
      <c r="E105" s="26"/>
      <c r="F105" s="26"/>
    </row>
    <row r="106" spans="1:6" ht="14.25" x14ac:dyDescent="0.25">
      <c r="A106" s="25" t="s">
        <v>29</v>
      </c>
      <c r="B106" s="26"/>
      <c r="C106" s="6"/>
      <c r="D106" s="26" t="s">
        <v>54</v>
      </c>
      <c r="E106" s="26" t="s">
        <v>118</v>
      </c>
      <c r="F106" s="26" t="s">
        <v>146</v>
      </c>
    </row>
    <row r="107" spans="1:6" ht="15" x14ac:dyDescent="0.25">
      <c r="A107" s="18" t="s">
        <v>31</v>
      </c>
      <c r="B107" s="19">
        <f>B99</f>
        <v>99900.000090000001</v>
      </c>
      <c r="C107" s="20"/>
      <c r="D107" s="19">
        <f>D99</f>
        <v>99900.000090000001</v>
      </c>
      <c r="E107" s="19">
        <f>E99</f>
        <v>99900.000090000001</v>
      </c>
      <c r="F107" s="19">
        <f>F99</f>
        <v>99900.000090000001</v>
      </c>
    </row>
    <row r="108" spans="1:6" ht="15" x14ac:dyDescent="0.25">
      <c r="A108" s="18" t="s">
        <v>32</v>
      </c>
      <c r="B108" s="17"/>
      <c r="D108" s="17"/>
      <c r="E108" s="17"/>
      <c r="F108" s="17"/>
    </row>
    <row r="109" spans="1:6" ht="14.25" x14ac:dyDescent="0.25">
      <c r="A109" s="22" t="s">
        <v>19</v>
      </c>
      <c r="B109" s="23"/>
      <c r="C109" s="24"/>
      <c r="D109" s="23">
        <v>20181.820200000002</v>
      </c>
      <c r="E109" s="23" t="s">
        <v>33</v>
      </c>
      <c r="F109" s="23" t="s">
        <v>33</v>
      </c>
    </row>
    <row r="110" spans="1:6" ht="14.25" x14ac:dyDescent="0.25">
      <c r="A110" s="22" t="s">
        <v>23</v>
      </c>
      <c r="B110" s="23"/>
      <c r="C110" s="24"/>
      <c r="D110" s="23">
        <v>30272.730300000003</v>
      </c>
      <c r="E110" s="23" t="s">
        <v>33</v>
      </c>
      <c r="F110" s="23" t="s">
        <v>33</v>
      </c>
    </row>
    <row r="111" spans="1:6" ht="14.25" x14ac:dyDescent="0.25">
      <c r="A111" s="22" t="s">
        <v>24</v>
      </c>
      <c r="B111" s="23"/>
      <c r="C111" s="24"/>
      <c r="D111" s="23">
        <v>50454.550500000005</v>
      </c>
      <c r="E111" s="23">
        <v>50454.550500000005</v>
      </c>
      <c r="F111" s="23">
        <v>50454.550500000005</v>
      </c>
    </row>
    <row r="112" spans="1:6" ht="14.25" x14ac:dyDescent="0.25">
      <c r="A112" s="27" t="s">
        <v>34</v>
      </c>
      <c r="B112" s="28"/>
      <c r="D112" s="28">
        <v>302727.19200000004</v>
      </c>
      <c r="E112" s="28">
        <v>302727.19200000004</v>
      </c>
      <c r="F112" s="28">
        <v>302727.19200000004</v>
      </c>
    </row>
    <row r="113" spans="1:6" ht="15" x14ac:dyDescent="0.25">
      <c r="A113" s="29" t="s">
        <v>36</v>
      </c>
      <c r="B113" s="30"/>
      <c r="D113" s="30"/>
      <c r="E113" s="30"/>
      <c r="F113" s="30"/>
    </row>
    <row r="114" spans="1:6" ht="14.25" x14ac:dyDescent="0.25">
      <c r="A114" s="16" t="s">
        <v>37</v>
      </c>
      <c r="B114" s="17">
        <f>50000*100.909091%</f>
        <v>50454.5455</v>
      </c>
      <c r="D114" s="17">
        <f>50000*100.909091%</f>
        <v>50454.5455</v>
      </c>
      <c r="E114" s="17">
        <f>50000*100.909091%</f>
        <v>50454.5455</v>
      </c>
      <c r="F114" s="17">
        <f>50000*100.909091%</f>
        <v>50454.5455</v>
      </c>
    </row>
    <row r="115" spans="1:6" ht="15" x14ac:dyDescent="0.25">
      <c r="A115" s="18" t="s">
        <v>38</v>
      </c>
      <c r="B115" s="19">
        <v>100909.091</v>
      </c>
      <c r="C115" s="20"/>
      <c r="D115" s="19">
        <f>200000*100.909091%</f>
        <v>201818.182</v>
      </c>
      <c r="E115" s="19">
        <f>100000*100.909091%</f>
        <v>100909.091</v>
      </c>
      <c r="F115" s="19">
        <f>100000*100.909091%</f>
        <v>100909.091</v>
      </c>
    </row>
    <row r="116" spans="1:6" ht="15" x14ac:dyDescent="0.25">
      <c r="A116" s="18" t="s">
        <v>39</v>
      </c>
      <c r="B116" s="17"/>
      <c r="D116" s="23" t="s">
        <v>22</v>
      </c>
      <c r="E116" s="23" t="s">
        <v>22</v>
      </c>
      <c r="F116" s="23" t="s">
        <v>22</v>
      </c>
    </row>
    <row r="117" spans="1:6" ht="14.25" x14ac:dyDescent="0.25">
      <c r="A117" s="25" t="s">
        <v>40</v>
      </c>
      <c r="B117" s="26"/>
      <c r="C117" s="6"/>
      <c r="D117" s="26"/>
      <c r="E117" s="26"/>
      <c r="F117" s="26"/>
    </row>
    <row r="118" spans="1:6" ht="14.25" x14ac:dyDescent="0.25">
      <c r="A118" s="25" t="s">
        <v>41</v>
      </c>
      <c r="B118" s="26"/>
      <c r="C118" s="6"/>
      <c r="D118" s="26"/>
      <c r="E118" s="26"/>
      <c r="F118" s="26"/>
    </row>
    <row r="119" spans="1:6" ht="15" x14ac:dyDescent="0.25">
      <c r="A119" s="18" t="s">
        <v>31</v>
      </c>
      <c r="B119" s="17">
        <f>50000*100.909091%</f>
        <v>50454.5455</v>
      </c>
      <c r="D119" s="17">
        <f>D114</f>
        <v>50454.5455</v>
      </c>
      <c r="E119" s="17">
        <f>E114</f>
        <v>50454.5455</v>
      </c>
      <c r="F119" s="17">
        <f>F111</f>
        <v>50454.550500000005</v>
      </c>
    </row>
    <row r="120" spans="1:6" ht="15" x14ac:dyDescent="0.25">
      <c r="A120" s="18" t="s">
        <v>42</v>
      </c>
      <c r="B120" s="17"/>
      <c r="D120" s="23"/>
      <c r="E120" s="23"/>
      <c r="F120" s="23"/>
    </row>
    <row r="121" spans="1:6" ht="14.25" x14ac:dyDescent="0.25">
      <c r="A121" s="22" t="s">
        <v>43</v>
      </c>
      <c r="B121" s="23"/>
      <c r="C121" s="24"/>
      <c r="D121" s="23" t="s">
        <v>22</v>
      </c>
      <c r="E121" s="23" t="s">
        <v>22</v>
      </c>
      <c r="F121" s="23" t="s">
        <v>22</v>
      </c>
    </row>
    <row r="122" spans="1:6" ht="14.25" x14ac:dyDescent="0.25">
      <c r="A122" s="22" t="s">
        <v>44</v>
      </c>
      <c r="B122" s="23"/>
      <c r="C122" s="24"/>
      <c r="D122" s="23" t="s">
        <v>22</v>
      </c>
      <c r="E122" s="23" t="s">
        <v>22</v>
      </c>
      <c r="F122" s="23" t="s">
        <v>22</v>
      </c>
    </row>
    <row r="123" spans="1:6" ht="14.25" x14ac:dyDescent="0.25">
      <c r="A123" s="22" t="s">
        <v>45</v>
      </c>
      <c r="B123" s="23"/>
      <c r="C123" s="24"/>
      <c r="D123" s="23">
        <v>50454.550500000005</v>
      </c>
      <c r="E123" s="23">
        <v>50454.550500000005</v>
      </c>
      <c r="F123" s="23">
        <v>50454.550500000005</v>
      </c>
    </row>
    <row r="125" spans="1:6" ht="15" x14ac:dyDescent="0.25">
      <c r="B125" s="7" t="s">
        <v>1</v>
      </c>
      <c r="D125" s="96" t="s">
        <v>2</v>
      </c>
      <c r="E125" s="97"/>
      <c r="F125" s="98"/>
    </row>
    <row r="126" spans="1:6" ht="15" x14ac:dyDescent="0.25">
      <c r="A126" s="9" t="s">
        <v>3</v>
      </c>
      <c r="B126" s="10" t="s">
        <v>147</v>
      </c>
      <c r="D126" s="10" t="s">
        <v>5</v>
      </c>
      <c r="E126" s="10" t="s">
        <v>6</v>
      </c>
      <c r="F126" s="10" t="s">
        <v>7</v>
      </c>
    </row>
    <row r="127" spans="1:6" ht="15" x14ac:dyDescent="0.25">
      <c r="A127" s="12" t="s">
        <v>9</v>
      </c>
      <c r="B127" s="13"/>
      <c r="D127" s="99" t="s">
        <v>74</v>
      </c>
      <c r="E127" s="100"/>
      <c r="F127" s="101"/>
    </row>
    <row r="128" spans="1:6" ht="15" x14ac:dyDescent="0.25">
      <c r="A128" s="14" t="s">
        <v>11</v>
      </c>
      <c r="B128" s="15"/>
      <c r="D128" s="41" t="s">
        <v>148</v>
      </c>
      <c r="E128" s="41" t="s">
        <v>143</v>
      </c>
      <c r="F128" s="41" t="s">
        <v>143</v>
      </c>
    </row>
    <row r="129" spans="1:9" ht="14.25" x14ac:dyDescent="0.25">
      <c r="A129" s="16" t="s">
        <v>16</v>
      </c>
      <c r="B129" s="17">
        <v>59536</v>
      </c>
      <c r="D129" s="17">
        <v>59536</v>
      </c>
      <c r="E129" s="17">
        <v>59536</v>
      </c>
      <c r="F129" s="17">
        <v>59536</v>
      </c>
      <c r="I129" s="40"/>
    </row>
    <row r="130" spans="1:9" ht="15" x14ac:dyDescent="0.25">
      <c r="A130" s="18" t="s">
        <v>17</v>
      </c>
      <c r="B130" s="19">
        <v>100909.091</v>
      </c>
      <c r="C130" s="20"/>
      <c r="D130" s="19">
        <f>206500*100.909091%</f>
        <v>208377.27291500001</v>
      </c>
      <c r="E130" s="19">
        <f>100000*100.909091%</f>
        <v>100909.091</v>
      </c>
      <c r="F130" s="19">
        <f>100000*100.909091%</f>
        <v>100909.091</v>
      </c>
    </row>
    <row r="131" spans="1:9" ht="15" x14ac:dyDescent="0.25">
      <c r="A131" s="18" t="s">
        <v>18</v>
      </c>
      <c r="B131" s="19"/>
      <c r="C131" s="20"/>
      <c r="D131" s="19"/>
      <c r="E131" s="19"/>
      <c r="F131" s="19"/>
    </row>
    <row r="132" spans="1:9" ht="14.25" x14ac:dyDescent="0.25">
      <c r="A132" s="22" t="s">
        <v>19</v>
      </c>
      <c r="B132" s="23"/>
      <c r="C132" s="24"/>
      <c r="D132" s="23" t="s">
        <v>138</v>
      </c>
      <c r="E132" s="23" t="s">
        <v>138</v>
      </c>
      <c r="F132" s="23" t="s">
        <v>138</v>
      </c>
    </row>
    <row r="133" spans="1:9" ht="14.25" x14ac:dyDescent="0.25">
      <c r="A133" s="22" t="s">
        <v>23</v>
      </c>
      <c r="B133" s="23"/>
      <c r="C133" s="24"/>
      <c r="D133" s="23" t="s">
        <v>138</v>
      </c>
      <c r="E133" s="23" t="s">
        <v>138</v>
      </c>
      <c r="F133" s="23" t="s">
        <v>138</v>
      </c>
    </row>
    <row r="134" spans="1:9" ht="14.25" x14ac:dyDescent="0.25">
      <c r="A134" s="22" t="s">
        <v>24</v>
      </c>
      <c r="B134" s="23"/>
      <c r="C134" s="24"/>
      <c r="D134" s="23"/>
      <c r="E134" s="23"/>
      <c r="F134" s="23"/>
    </row>
    <row r="135" spans="1:9" ht="14.25" x14ac:dyDescent="0.25">
      <c r="A135" s="25" t="s">
        <v>26</v>
      </c>
      <c r="B135" s="26"/>
      <c r="C135" s="6"/>
      <c r="D135" s="26"/>
      <c r="E135" s="26"/>
      <c r="F135" s="26"/>
    </row>
    <row r="136" spans="1:9" ht="14.25" x14ac:dyDescent="0.25">
      <c r="A136" s="25" t="s">
        <v>29</v>
      </c>
      <c r="B136" s="26"/>
      <c r="C136" s="6"/>
      <c r="D136" s="39" t="s">
        <v>78</v>
      </c>
      <c r="E136" s="53" t="s">
        <v>139</v>
      </c>
      <c r="F136" s="39" t="s">
        <v>118</v>
      </c>
    </row>
    <row r="137" spans="1:9" ht="15" x14ac:dyDescent="0.25">
      <c r="A137" s="18" t="s">
        <v>31</v>
      </c>
      <c r="B137" s="19">
        <f>B129</f>
        <v>59536</v>
      </c>
      <c r="C137" s="20"/>
      <c r="D137" s="19">
        <f>D129</f>
        <v>59536</v>
      </c>
      <c r="E137" s="19">
        <f>E129</f>
        <v>59536</v>
      </c>
      <c r="F137" s="19">
        <f>F129</f>
        <v>59536</v>
      </c>
    </row>
    <row r="138" spans="1:9" ht="15" x14ac:dyDescent="0.25">
      <c r="A138" s="18" t="s">
        <v>32</v>
      </c>
      <c r="B138" s="17"/>
      <c r="D138" s="17"/>
      <c r="E138" s="17"/>
      <c r="F138" s="17"/>
    </row>
    <row r="139" spans="1:9" ht="14.25" x14ac:dyDescent="0.25">
      <c r="A139" s="22" t="s">
        <v>19</v>
      </c>
      <c r="B139" s="23"/>
      <c r="C139" s="24"/>
      <c r="D139" s="23">
        <v>0</v>
      </c>
      <c r="E139" s="23">
        <v>0</v>
      </c>
      <c r="F139" s="23">
        <v>0</v>
      </c>
    </row>
    <row r="140" spans="1:9" ht="14.25" x14ac:dyDescent="0.25">
      <c r="A140" s="22" t="s">
        <v>23</v>
      </c>
      <c r="B140" s="23"/>
      <c r="C140" s="24"/>
      <c r="D140" s="23">
        <v>0</v>
      </c>
      <c r="E140" s="23">
        <v>0</v>
      </c>
      <c r="F140" s="23">
        <v>0</v>
      </c>
    </row>
    <row r="141" spans="1:9" ht="14.25" x14ac:dyDescent="0.25">
      <c r="A141" s="22" t="s">
        <v>24</v>
      </c>
      <c r="B141" s="23"/>
      <c r="C141" s="24"/>
      <c r="D141" s="23">
        <v>0</v>
      </c>
      <c r="E141" s="23">
        <v>0</v>
      </c>
      <c r="F141" s="23">
        <v>0</v>
      </c>
    </row>
    <row r="142" spans="1:9" ht="14.25" x14ac:dyDescent="0.25">
      <c r="A142" s="27" t="s">
        <v>34</v>
      </c>
      <c r="B142" s="28"/>
      <c r="D142" s="28">
        <v>302727.19200000004</v>
      </c>
      <c r="E142" s="28">
        <v>302727.19200000004</v>
      </c>
      <c r="F142" s="28">
        <v>302727.19200000004</v>
      </c>
    </row>
    <row r="143" spans="1:9" ht="15" x14ac:dyDescent="0.25">
      <c r="A143" s="29" t="s">
        <v>36</v>
      </c>
      <c r="B143" s="30"/>
      <c r="D143" s="30"/>
      <c r="E143" s="30"/>
      <c r="F143" s="30"/>
    </row>
    <row r="144" spans="1:9" ht="14.25" x14ac:dyDescent="0.25">
      <c r="A144" s="16" t="s">
        <v>37</v>
      </c>
      <c r="B144" s="17">
        <v>59536.363690000006</v>
      </c>
      <c r="D144" s="17">
        <f>59000*100.909091%</f>
        <v>59536.363690000006</v>
      </c>
      <c r="E144" s="17">
        <f>59000*100.909091%</f>
        <v>59536.363690000006</v>
      </c>
      <c r="F144" s="17">
        <f>59000*100.909091%</f>
        <v>59536.363690000006</v>
      </c>
    </row>
    <row r="145" spans="1:6" ht="15" x14ac:dyDescent="0.25">
      <c r="A145" s="18" t="s">
        <v>38</v>
      </c>
      <c r="B145" s="19">
        <v>100909.091</v>
      </c>
      <c r="C145" s="20"/>
      <c r="D145" s="19">
        <f>206500*100.909091%</f>
        <v>208377.27291500001</v>
      </c>
      <c r="E145" s="19">
        <f>100000*100.909091%</f>
        <v>100909.091</v>
      </c>
      <c r="F145" s="19">
        <f>100000*100.909091%</f>
        <v>100909.091</v>
      </c>
    </row>
    <row r="146" spans="1:6" ht="15" x14ac:dyDescent="0.25">
      <c r="A146" s="18" t="s">
        <v>39</v>
      </c>
      <c r="B146" s="17"/>
      <c r="D146" s="23" t="s">
        <v>22</v>
      </c>
      <c r="E146" s="23" t="s">
        <v>22</v>
      </c>
      <c r="F146" s="23" t="s">
        <v>22</v>
      </c>
    </row>
    <row r="147" spans="1:6" ht="14.25" x14ac:dyDescent="0.25">
      <c r="A147" s="25" t="s">
        <v>40</v>
      </c>
      <c r="B147" s="26"/>
      <c r="C147" s="6"/>
      <c r="D147" s="26"/>
      <c r="E147" s="26"/>
      <c r="F147" s="26"/>
    </row>
    <row r="148" spans="1:6" ht="14.25" x14ac:dyDescent="0.25">
      <c r="A148" s="25" t="s">
        <v>41</v>
      </c>
      <c r="B148" s="26"/>
      <c r="C148" s="6"/>
      <c r="D148" s="26"/>
      <c r="E148" s="26"/>
      <c r="F148" s="26"/>
    </row>
    <row r="149" spans="1:6" ht="15" x14ac:dyDescent="0.25">
      <c r="A149" s="18" t="s">
        <v>31</v>
      </c>
      <c r="B149" s="17">
        <f>B144</f>
        <v>59536.363690000006</v>
      </c>
      <c r="D149" s="17">
        <f>D144</f>
        <v>59536.363690000006</v>
      </c>
      <c r="E149" s="17">
        <f>E144</f>
        <v>59536.363690000006</v>
      </c>
      <c r="F149" s="17">
        <f>F144</f>
        <v>59536.363690000006</v>
      </c>
    </row>
    <row r="150" spans="1:6" ht="15" x14ac:dyDescent="0.25">
      <c r="A150" s="18" t="s">
        <v>42</v>
      </c>
      <c r="B150" s="17"/>
      <c r="D150" s="23"/>
      <c r="E150" s="23"/>
      <c r="F150" s="23"/>
    </row>
    <row r="151" spans="1:6" ht="14.25" x14ac:dyDescent="0.25">
      <c r="A151" s="22" t="s">
        <v>43</v>
      </c>
      <c r="B151" s="23"/>
      <c r="C151" s="24"/>
      <c r="D151" s="23" t="s">
        <v>22</v>
      </c>
      <c r="E151" s="23" t="s">
        <v>22</v>
      </c>
      <c r="F151" s="23" t="s">
        <v>22</v>
      </c>
    </row>
    <row r="152" spans="1:6" ht="14.25" x14ac:dyDescent="0.25">
      <c r="A152" s="22" t="s">
        <v>44</v>
      </c>
      <c r="B152" s="23"/>
      <c r="C152" s="24"/>
      <c r="D152" s="23" t="s">
        <v>22</v>
      </c>
      <c r="E152" s="23" t="s">
        <v>22</v>
      </c>
      <c r="F152" s="23" t="s">
        <v>22</v>
      </c>
    </row>
    <row r="153" spans="1:6" ht="14.25" x14ac:dyDescent="0.25">
      <c r="A153" s="22" t="s">
        <v>45</v>
      </c>
      <c r="B153" s="23"/>
      <c r="C153" s="24"/>
      <c r="D153" s="23">
        <v>50454.550500000005</v>
      </c>
      <c r="E153" s="23">
        <v>50454.550500000005</v>
      </c>
      <c r="F153" s="23">
        <v>50454.550500000005</v>
      </c>
    </row>
  </sheetData>
  <sheetProtection algorithmName="SHA-512" hashValue="8702hRgEgt58+PIkFUT9yQhQ98fJDm4FSmxdv/1prLV9UI3owGNHY2+Auk8i7oyCtCN9okcUzgNR/41CJ2BG5w==" saltValue="gQoMSXKLAUdQk2GCSsn7NA==" spinCount="100000" sheet="1" objects="1" scenarios="1"/>
  <mergeCells count="10">
    <mergeCell ref="D95:F95"/>
    <mergeCell ref="D97:F97"/>
    <mergeCell ref="D125:F125"/>
    <mergeCell ref="D127:F127"/>
    <mergeCell ref="D5:F5"/>
    <mergeCell ref="D7:E7"/>
    <mergeCell ref="D35:F35"/>
    <mergeCell ref="D37:E37"/>
    <mergeCell ref="D65:F65"/>
    <mergeCell ref="D67:F6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showGridLines="0" zoomScale="80" zoomScaleNormal="80" workbookViewId="0">
      <selection activeCell="D5" sqref="D5:F5"/>
    </sheetView>
  </sheetViews>
  <sheetFormatPr defaultColWidth="9.140625" defaultRowHeight="14.25" x14ac:dyDescent="0.2"/>
  <cols>
    <col min="1" max="1" width="55.28515625" style="57" customWidth="1"/>
    <col min="2" max="2" width="29.7109375" style="57" bestFit="1" customWidth="1"/>
    <col min="3" max="3" width="1.140625" style="57" customWidth="1"/>
    <col min="4" max="4" width="38" style="57" customWidth="1"/>
    <col min="5" max="5" width="41" style="57" customWidth="1"/>
    <col min="6" max="6" width="36.140625" style="57" customWidth="1"/>
    <col min="7" max="7" width="3.7109375" style="57" customWidth="1"/>
    <col min="8" max="16384" width="9.140625" style="57"/>
  </cols>
  <sheetData>
    <row r="1" spans="1:6" ht="15" x14ac:dyDescent="0.2">
      <c r="F1" s="58"/>
    </row>
    <row r="2" spans="1:6" s="1" customFormat="1" ht="20.25" x14ac:dyDescent="0.25">
      <c r="A2" s="4" t="s">
        <v>149</v>
      </c>
      <c r="B2" s="5"/>
      <c r="C2" s="4"/>
      <c r="D2" s="5"/>
      <c r="E2" s="5"/>
      <c r="F2" s="2"/>
    </row>
    <row r="3" spans="1:6" s="1" customFormat="1" x14ac:dyDescent="0.25">
      <c r="A3" s="6"/>
      <c r="B3" s="2"/>
      <c r="D3" s="2"/>
      <c r="E3" s="2"/>
      <c r="F3" s="2"/>
    </row>
    <row r="5" spans="1:6" s="1" customFormat="1" ht="15" x14ac:dyDescent="0.25">
      <c r="B5" s="59" t="s">
        <v>1</v>
      </c>
      <c r="D5" s="96" t="s">
        <v>2</v>
      </c>
      <c r="E5" s="97"/>
      <c r="F5" s="98"/>
    </row>
    <row r="6" spans="1:6" s="1" customFormat="1" ht="15" x14ac:dyDescent="0.25">
      <c r="A6" s="9" t="s">
        <v>3</v>
      </c>
      <c r="B6" s="10" t="s">
        <v>150</v>
      </c>
      <c r="D6" s="10" t="s">
        <v>5</v>
      </c>
      <c r="E6" s="10" t="s">
        <v>6</v>
      </c>
      <c r="F6" s="10" t="s">
        <v>7</v>
      </c>
    </row>
    <row r="7" spans="1:6" s="1" customFormat="1" ht="15" x14ac:dyDescent="0.25">
      <c r="A7" s="12" t="s">
        <v>9</v>
      </c>
      <c r="B7" s="13"/>
      <c r="D7" s="99" t="s">
        <v>74</v>
      </c>
      <c r="E7" s="100"/>
      <c r="F7" s="101"/>
    </row>
    <row r="8" spans="1:6" s="1" customFormat="1" ht="15" x14ac:dyDescent="0.25">
      <c r="A8" s="14" t="s">
        <v>11</v>
      </c>
      <c r="B8" s="15"/>
      <c r="D8" s="15" t="s">
        <v>151</v>
      </c>
      <c r="E8" s="15" t="s">
        <v>151</v>
      </c>
      <c r="F8" s="15" t="s">
        <v>152</v>
      </c>
    </row>
    <row r="9" spans="1:6" s="1" customFormat="1" x14ac:dyDescent="0.25">
      <c r="A9" s="16" t="s">
        <v>16</v>
      </c>
      <c r="B9" s="17">
        <v>59000</v>
      </c>
      <c r="D9" s="17">
        <f>59000*100.909091%</f>
        <v>59536.363690000006</v>
      </c>
      <c r="E9" s="17">
        <f>59000*100.909091%</f>
        <v>59536.363690000006</v>
      </c>
      <c r="F9" s="17">
        <f>59000*100.909091%</f>
        <v>59536.363690000006</v>
      </c>
    </row>
    <row r="10" spans="1:6" s="1" customFormat="1" ht="15" x14ac:dyDescent="0.25">
      <c r="A10" s="18" t="s">
        <v>17</v>
      </c>
      <c r="B10" s="17">
        <v>590000</v>
      </c>
      <c r="D10" s="17">
        <f>590000*100.909091%</f>
        <v>595363.63690000004</v>
      </c>
      <c r="E10" s="17">
        <f>590000*100.909091%</f>
        <v>595363.63690000004</v>
      </c>
      <c r="F10" s="17">
        <f>413000*100.909091%</f>
        <v>416754.54583000002</v>
      </c>
    </row>
    <row r="11" spans="1:6" s="1" customFormat="1" ht="15" x14ac:dyDescent="0.25">
      <c r="A11" s="18" t="s">
        <v>18</v>
      </c>
      <c r="B11" s="19"/>
      <c r="C11" s="20"/>
      <c r="D11" s="19"/>
      <c r="E11" s="19"/>
      <c r="F11" s="19"/>
    </row>
    <row r="12" spans="1:6" s="24" customFormat="1" x14ac:dyDescent="0.25">
      <c r="A12" s="22" t="s">
        <v>19</v>
      </c>
      <c r="B12" s="23"/>
      <c r="D12" s="23" t="s">
        <v>51</v>
      </c>
      <c r="E12" s="23" t="s">
        <v>51</v>
      </c>
      <c r="F12" s="23" t="s">
        <v>51</v>
      </c>
    </row>
    <row r="13" spans="1:6" s="24" customFormat="1" x14ac:dyDescent="0.25">
      <c r="A13" s="22" t="s">
        <v>23</v>
      </c>
      <c r="B13" s="23"/>
      <c r="D13" s="23" t="s">
        <v>51</v>
      </c>
      <c r="E13" s="23" t="s">
        <v>51</v>
      </c>
      <c r="F13" s="23" t="s">
        <v>51</v>
      </c>
    </row>
    <row r="14" spans="1:6" s="24" customFormat="1" x14ac:dyDescent="0.25">
      <c r="A14" s="22" t="s">
        <v>24</v>
      </c>
      <c r="B14" s="23"/>
      <c r="D14" s="23" t="s">
        <v>51</v>
      </c>
      <c r="E14" s="23" t="s">
        <v>51</v>
      </c>
      <c r="F14" s="23" t="s">
        <v>51</v>
      </c>
    </row>
    <row r="15" spans="1:6" s="6" customFormat="1" x14ac:dyDescent="0.25">
      <c r="A15" s="25" t="s">
        <v>26</v>
      </c>
      <c r="B15" s="26" t="s">
        <v>27</v>
      </c>
      <c r="D15" s="26" t="s">
        <v>27</v>
      </c>
      <c r="E15" s="26" t="s">
        <v>27</v>
      </c>
      <c r="F15" s="26" t="s">
        <v>27</v>
      </c>
    </row>
    <row r="16" spans="1:6" s="6" customFormat="1" x14ac:dyDescent="0.25">
      <c r="A16" s="25" t="s">
        <v>29</v>
      </c>
      <c r="B16" s="26"/>
      <c r="D16" s="26" t="s">
        <v>64</v>
      </c>
      <c r="E16" s="26" t="s">
        <v>54</v>
      </c>
      <c r="F16" s="26" t="s">
        <v>78</v>
      </c>
    </row>
    <row r="17" spans="1:9" s="1" customFormat="1" ht="17.100000000000001" customHeight="1" x14ac:dyDescent="0.25">
      <c r="A17" s="18" t="s">
        <v>31</v>
      </c>
      <c r="B17" s="17">
        <f>B9</f>
        <v>59000</v>
      </c>
      <c r="D17" s="17">
        <f>D9</f>
        <v>59536.363690000006</v>
      </c>
      <c r="E17" s="17">
        <f>E9</f>
        <v>59536.363690000006</v>
      </c>
      <c r="F17" s="17">
        <f>F9</f>
        <v>59536.363690000006</v>
      </c>
      <c r="I17" s="40"/>
    </row>
    <row r="18" spans="1:9" s="20" customFormat="1" ht="17.100000000000001" customHeight="1" x14ac:dyDescent="0.25">
      <c r="A18" s="18" t="s">
        <v>32</v>
      </c>
      <c r="B18" s="19"/>
      <c r="D18" s="19"/>
      <c r="E18" s="19"/>
      <c r="F18" s="19"/>
    </row>
    <row r="19" spans="1:9" s="1" customFormat="1" ht="17.100000000000001" customHeight="1" x14ac:dyDescent="0.25">
      <c r="A19" s="22" t="s">
        <v>19</v>
      </c>
      <c r="B19" s="23"/>
      <c r="C19" s="24"/>
      <c r="D19" s="23" t="s">
        <v>22</v>
      </c>
      <c r="E19" s="23" t="s">
        <v>22</v>
      </c>
      <c r="F19" s="23" t="s">
        <v>22</v>
      </c>
    </row>
    <row r="20" spans="1:9" s="1" customFormat="1" ht="17.100000000000001" customHeight="1" x14ac:dyDescent="0.25">
      <c r="A20" s="22" t="s">
        <v>23</v>
      </c>
      <c r="B20" s="23"/>
      <c r="C20" s="24"/>
      <c r="D20" s="23" t="s">
        <v>22</v>
      </c>
      <c r="E20" s="23" t="s">
        <v>22</v>
      </c>
      <c r="F20" s="23" t="s">
        <v>22</v>
      </c>
    </row>
    <row r="21" spans="1:9" s="1" customFormat="1" ht="17.100000000000001" customHeight="1" x14ac:dyDescent="0.25">
      <c r="A21" s="22" t="s">
        <v>24</v>
      </c>
      <c r="B21" s="23"/>
      <c r="C21" s="24"/>
      <c r="D21" s="23">
        <v>50454.550500000005</v>
      </c>
      <c r="E21" s="23">
        <v>50454.550500000005</v>
      </c>
      <c r="F21" s="23">
        <v>50454.550500000005</v>
      </c>
    </row>
    <row r="22" spans="1:9" s="1" customFormat="1" ht="17.100000000000001" customHeight="1" x14ac:dyDescent="0.25">
      <c r="A22" s="27" t="s">
        <v>34</v>
      </c>
      <c r="B22" s="28"/>
      <c r="D22" s="28">
        <v>302727.19200000004</v>
      </c>
      <c r="E22" s="28"/>
      <c r="F22" s="28">
        <v>302727.19200000004</v>
      </c>
    </row>
    <row r="23" spans="1:9" s="1" customFormat="1" ht="17.100000000000001" customHeight="1" x14ac:dyDescent="0.25">
      <c r="A23" s="29" t="s">
        <v>36</v>
      </c>
      <c r="B23" s="30"/>
      <c r="D23" s="30"/>
      <c r="E23" s="30"/>
      <c r="F23" s="30"/>
    </row>
    <row r="24" spans="1:9" s="1" customFormat="1" ht="17.100000000000001" customHeight="1" x14ac:dyDescent="0.25">
      <c r="A24" s="16" t="s">
        <v>37</v>
      </c>
      <c r="B24" s="17">
        <v>59000</v>
      </c>
      <c r="D24" s="17">
        <f>59000*100.909091%</f>
        <v>59536.363690000006</v>
      </c>
      <c r="E24" s="17">
        <f>59000*100.909091%</f>
        <v>59536.363690000006</v>
      </c>
      <c r="F24" s="17">
        <f>59000*100.909091%</f>
        <v>59536.363690000006</v>
      </c>
    </row>
    <row r="25" spans="1:9" s="1" customFormat="1" ht="17.100000000000001" customHeight="1" x14ac:dyDescent="0.25">
      <c r="A25" s="18" t="s">
        <v>38</v>
      </c>
      <c r="B25" s="17">
        <v>590000</v>
      </c>
      <c r="D25" s="17">
        <f>590000*100.909091%</f>
        <v>595363.63690000004</v>
      </c>
      <c r="E25" s="17">
        <f>590000*100.909091%</f>
        <v>595363.63690000004</v>
      </c>
      <c r="F25" s="17">
        <f>413000*100.909091%</f>
        <v>416754.54583000002</v>
      </c>
    </row>
    <row r="26" spans="1:9" s="1" customFormat="1" ht="17.100000000000001" customHeight="1" x14ac:dyDescent="0.25">
      <c r="A26" s="18" t="s">
        <v>39</v>
      </c>
      <c r="B26" s="17"/>
      <c r="D26" s="23" t="s">
        <v>22</v>
      </c>
      <c r="E26" s="23" t="s">
        <v>22</v>
      </c>
      <c r="F26" s="23" t="s">
        <v>22</v>
      </c>
    </row>
    <row r="27" spans="1:9" s="6" customFormat="1" ht="17.100000000000001" customHeight="1" x14ac:dyDescent="0.25">
      <c r="A27" s="25" t="s">
        <v>40</v>
      </c>
      <c r="B27" s="26"/>
      <c r="D27" s="26"/>
      <c r="E27" s="26"/>
      <c r="F27" s="26"/>
    </row>
    <row r="28" spans="1:9" s="6" customFormat="1" ht="17.100000000000001" customHeight="1" x14ac:dyDescent="0.25">
      <c r="A28" s="25" t="s">
        <v>41</v>
      </c>
      <c r="B28" s="26"/>
      <c r="D28" s="26" t="s">
        <v>64</v>
      </c>
      <c r="E28" s="26" t="s">
        <v>54</v>
      </c>
      <c r="F28" s="26" t="s">
        <v>78</v>
      </c>
    </row>
    <row r="29" spans="1:9" s="1" customFormat="1" ht="17.100000000000001" customHeight="1" x14ac:dyDescent="0.25">
      <c r="A29" s="18" t="s">
        <v>31</v>
      </c>
      <c r="B29" s="17">
        <f>B24</f>
        <v>59000</v>
      </c>
      <c r="D29" s="17">
        <f>D24</f>
        <v>59536.363690000006</v>
      </c>
      <c r="E29" s="17">
        <f>E24</f>
        <v>59536.363690000006</v>
      </c>
      <c r="F29" s="17">
        <f>F24</f>
        <v>59536.363690000006</v>
      </c>
    </row>
    <row r="30" spans="1:9" s="1" customFormat="1" ht="17.100000000000001" customHeight="1" x14ac:dyDescent="0.25">
      <c r="A30" s="18" t="s">
        <v>42</v>
      </c>
      <c r="B30" s="17"/>
      <c r="D30" s="23"/>
      <c r="E30" s="23"/>
      <c r="F30" s="23"/>
    </row>
    <row r="31" spans="1:9" s="24" customFormat="1" ht="17.100000000000001" customHeight="1" x14ac:dyDescent="0.25">
      <c r="A31" s="22" t="s">
        <v>43</v>
      </c>
      <c r="B31" s="23"/>
      <c r="D31" s="23" t="s">
        <v>22</v>
      </c>
      <c r="E31" s="23" t="s">
        <v>22</v>
      </c>
      <c r="F31" s="23" t="s">
        <v>22</v>
      </c>
    </row>
    <row r="32" spans="1:9" s="24" customFormat="1" ht="17.100000000000001" customHeight="1" x14ac:dyDescent="0.25">
      <c r="A32" s="22" t="s">
        <v>44</v>
      </c>
      <c r="B32" s="23"/>
      <c r="D32" s="23" t="s">
        <v>22</v>
      </c>
      <c r="E32" s="23" t="s">
        <v>22</v>
      </c>
      <c r="F32" s="23" t="s">
        <v>22</v>
      </c>
    </row>
    <row r="33" spans="1:9" s="24" customFormat="1" ht="17.100000000000001" customHeight="1" x14ac:dyDescent="0.25">
      <c r="A33" s="22" t="s">
        <v>45</v>
      </c>
      <c r="B33" s="23"/>
      <c r="D33" s="23">
        <v>50454.550500000005</v>
      </c>
      <c r="E33" s="23">
        <v>50454.550500000005</v>
      </c>
      <c r="F33" s="23">
        <v>50454.550500000005</v>
      </c>
    </row>
    <row r="35" spans="1:9" s="1" customFormat="1" ht="17.100000000000001" customHeight="1" x14ac:dyDescent="0.25">
      <c r="B35" s="59" t="s">
        <v>1</v>
      </c>
      <c r="D35" s="96" t="s">
        <v>2</v>
      </c>
      <c r="E35" s="97"/>
      <c r="F35" s="98"/>
    </row>
    <row r="36" spans="1:9" s="1" customFormat="1" ht="17.100000000000001" customHeight="1" x14ac:dyDescent="0.25">
      <c r="A36" s="9" t="s">
        <v>3</v>
      </c>
      <c r="B36" s="10" t="s">
        <v>153</v>
      </c>
      <c r="D36" s="10" t="s">
        <v>5</v>
      </c>
      <c r="E36" s="10" t="s">
        <v>6</v>
      </c>
      <c r="F36" s="10" t="s">
        <v>7</v>
      </c>
    </row>
    <row r="37" spans="1:9" s="1" customFormat="1" ht="17.100000000000001" customHeight="1" x14ac:dyDescent="0.25">
      <c r="A37" s="12" t="s">
        <v>9</v>
      </c>
      <c r="B37" s="13"/>
      <c r="D37" s="37" t="s">
        <v>59</v>
      </c>
      <c r="E37" s="99" t="s">
        <v>120</v>
      </c>
      <c r="F37" s="101"/>
    </row>
    <row r="38" spans="1:9" s="1" customFormat="1" ht="17.100000000000001" customHeight="1" x14ac:dyDescent="0.25">
      <c r="A38" s="14" t="s">
        <v>11</v>
      </c>
      <c r="B38" s="15"/>
      <c r="D38" s="15" t="s">
        <v>84</v>
      </c>
      <c r="E38" s="15" t="s">
        <v>122</v>
      </c>
      <c r="F38" s="15" t="s">
        <v>154</v>
      </c>
    </row>
    <row r="39" spans="1:9" s="1" customFormat="1" ht="17.100000000000001" customHeight="1" x14ac:dyDescent="0.25">
      <c r="A39" s="16" t="s">
        <v>16</v>
      </c>
      <c r="B39" s="17">
        <v>69627.272790000003</v>
      </c>
      <c r="D39" s="17">
        <f>99000*100.909091%</f>
        <v>99900.000090000001</v>
      </c>
      <c r="E39" s="17">
        <f>69000*100.909091%</f>
        <v>69627.272790000003</v>
      </c>
      <c r="F39" s="17">
        <f>69000*100.909091%</f>
        <v>69627.272790000003</v>
      </c>
    </row>
    <row r="40" spans="1:9" s="1" customFormat="1" ht="17.100000000000001" customHeight="1" x14ac:dyDescent="0.25">
      <c r="A40" s="18" t="s">
        <v>17</v>
      </c>
      <c r="B40" s="17">
        <v>348136.36395000003</v>
      </c>
      <c r="D40" s="17">
        <f>D39*5</f>
        <v>499500.00044999999</v>
      </c>
      <c r="E40" s="17">
        <f>E39*5</f>
        <v>348136.36395000003</v>
      </c>
      <c r="F40" s="17">
        <f>150000*100.909091%</f>
        <v>151363.63650000002</v>
      </c>
    </row>
    <row r="41" spans="1:9" s="1" customFormat="1" ht="17.100000000000001" customHeight="1" x14ac:dyDescent="0.25">
      <c r="A41" s="18" t="s">
        <v>18</v>
      </c>
      <c r="B41" s="19"/>
      <c r="C41" s="20"/>
      <c r="D41" s="19"/>
      <c r="E41" s="19"/>
      <c r="F41" s="19"/>
    </row>
    <row r="42" spans="1:9" s="24" customFormat="1" ht="17.100000000000001" customHeight="1" x14ac:dyDescent="0.25">
      <c r="A42" s="22" t="s">
        <v>19</v>
      </c>
      <c r="B42" s="23"/>
      <c r="D42" s="23" t="s">
        <v>51</v>
      </c>
      <c r="E42" s="23" t="s">
        <v>51</v>
      </c>
      <c r="F42" s="23" t="s">
        <v>51</v>
      </c>
    </row>
    <row r="43" spans="1:9" s="24" customFormat="1" ht="17.100000000000001" customHeight="1" x14ac:dyDescent="0.25">
      <c r="A43" s="22" t="s">
        <v>23</v>
      </c>
      <c r="B43" s="23"/>
      <c r="D43" s="23" t="s">
        <v>51</v>
      </c>
      <c r="E43" s="23" t="s">
        <v>51</v>
      </c>
      <c r="F43" s="23" t="s">
        <v>51</v>
      </c>
    </row>
    <row r="44" spans="1:9" s="24" customFormat="1" ht="17.100000000000001" customHeight="1" x14ac:dyDescent="0.25">
      <c r="A44" s="22" t="s">
        <v>24</v>
      </c>
      <c r="B44" s="23"/>
      <c r="D44" s="23">
        <v>181636.3596</v>
      </c>
      <c r="E44" s="23">
        <v>181636.3596</v>
      </c>
      <c r="F44" s="23">
        <v>151363.64040000003</v>
      </c>
    </row>
    <row r="45" spans="1:9" s="6" customFormat="1" ht="17.100000000000001" customHeight="1" x14ac:dyDescent="0.25">
      <c r="A45" s="25" t="s">
        <v>26</v>
      </c>
      <c r="B45" s="26" t="s">
        <v>155</v>
      </c>
      <c r="D45" s="26" t="s">
        <v>155</v>
      </c>
      <c r="E45" s="26" t="s">
        <v>155</v>
      </c>
      <c r="F45" s="26"/>
    </row>
    <row r="46" spans="1:9" s="6" customFormat="1" ht="17.100000000000001" customHeight="1" x14ac:dyDescent="0.25">
      <c r="A46" s="25" t="s">
        <v>29</v>
      </c>
      <c r="B46" s="26"/>
      <c r="D46" s="53" t="s">
        <v>156</v>
      </c>
      <c r="E46" s="53" t="s">
        <v>157</v>
      </c>
      <c r="F46" s="26"/>
    </row>
    <row r="47" spans="1:9" s="1" customFormat="1" ht="17.100000000000001" customHeight="1" x14ac:dyDescent="0.25">
      <c r="A47" s="18" t="s">
        <v>31</v>
      </c>
      <c r="B47" s="17">
        <f>B39</f>
        <v>69627.272790000003</v>
      </c>
      <c r="D47" s="17">
        <f>D39</f>
        <v>99900.000090000001</v>
      </c>
      <c r="E47" s="17">
        <f>E39</f>
        <v>69627.272790000003</v>
      </c>
      <c r="F47" s="17">
        <f>F39</f>
        <v>69627.272790000003</v>
      </c>
      <c r="I47" s="40"/>
    </row>
    <row r="48" spans="1:9" s="20" customFormat="1" ht="17.100000000000001" customHeight="1" x14ac:dyDescent="0.25">
      <c r="A48" s="18" t="s">
        <v>32</v>
      </c>
      <c r="B48" s="19"/>
      <c r="D48" s="19"/>
      <c r="E48" s="19"/>
      <c r="F48" s="19"/>
    </row>
    <row r="49" spans="1:6" s="1" customFormat="1" x14ac:dyDescent="0.25">
      <c r="A49" s="22" t="s">
        <v>19</v>
      </c>
      <c r="B49" s="23"/>
      <c r="C49" s="24"/>
      <c r="D49" s="23" t="s">
        <v>22</v>
      </c>
      <c r="E49" s="23" t="s">
        <v>22</v>
      </c>
      <c r="F49" s="23" t="s">
        <v>22</v>
      </c>
    </row>
    <row r="50" spans="1:6" s="1" customFormat="1" x14ac:dyDescent="0.25">
      <c r="A50" s="22" t="s">
        <v>23</v>
      </c>
      <c r="B50" s="23"/>
      <c r="C50" s="24"/>
      <c r="D50" s="23" t="s">
        <v>22</v>
      </c>
      <c r="E50" s="23" t="s">
        <v>22</v>
      </c>
      <c r="F50" s="23" t="s">
        <v>22</v>
      </c>
    </row>
    <row r="51" spans="1:6" s="1" customFormat="1" x14ac:dyDescent="0.25">
      <c r="A51" s="22" t="s">
        <v>24</v>
      </c>
      <c r="B51" s="23"/>
      <c r="C51" s="24"/>
      <c r="D51" s="23">
        <v>50454.550500000005</v>
      </c>
      <c r="E51" s="23">
        <v>50454.550500000005</v>
      </c>
      <c r="F51" s="23">
        <v>50454.550500000005</v>
      </c>
    </row>
    <row r="52" spans="1:6" s="1" customFormat="1" x14ac:dyDescent="0.25">
      <c r="A52" s="27" t="s">
        <v>34</v>
      </c>
      <c r="B52" s="28"/>
      <c r="D52" s="28">
        <v>302727.19200000004</v>
      </c>
      <c r="E52" s="28" t="s">
        <v>35</v>
      </c>
      <c r="F52" s="60" t="s">
        <v>35</v>
      </c>
    </row>
    <row r="53" spans="1:6" s="1" customFormat="1" ht="15" x14ac:dyDescent="0.25">
      <c r="A53" s="29" t="s">
        <v>36</v>
      </c>
      <c r="B53" s="30"/>
      <c r="D53" s="30"/>
      <c r="E53" s="30"/>
      <c r="F53" s="30"/>
    </row>
    <row r="54" spans="1:6" s="1" customFormat="1" x14ac:dyDescent="0.25">
      <c r="A54" s="16" t="s">
        <v>37</v>
      </c>
      <c r="B54" s="17">
        <v>34500</v>
      </c>
      <c r="D54" s="17">
        <f>99000*100.909091%</f>
        <v>99900.000090000001</v>
      </c>
      <c r="E54" s="17">
        <f>34500*100.909091%</f>
        <v>34813.636395000001</v>
      </c>
      <c r="F54" s="17">
        <f>34500*100.909091%</f>
        <v>34813.636395000001</v>
      </c>
    </row>
    <row r="55" spans="1:6" s="1" customFormat="1" ht="15" x14ac:dyDescent="0.25">
      <c r="A55" s="18" t="s">
        <v>38</v>
      </c>
      <c r="B55" s="17">
        <f>B54*6</f>
        <v>207000</v>
      </c>
      <c r="D55" s="17">
        <f>300000*100.909091%</f>
        <v>302727.27300000004</v>
      </c>
      <c r="E55" s="17">
        <f>E54*6</f>
        <v>208881.81836999999</v>
      </c>
      <c r="F55" s="17">
        <f>150000*100.909091%</f>
        <v>151363.63650000002</v>
      </c>
    </row>
    <row r="56" spans="1:6" s="1" customFormat="1" ht="15" x14ac:dyDescent="0.25">
      <c r="A56" s="18" t="s">
        <v>39</v>
      </c>
      <c r="B56" s="17"/>
      <c r="D56" s="23" t="s">
        <v>22</v>
      </c>
      <c r="E56" s="23" t="s">
        <v>22</v>
      </c>
      <c r="F56" s="23" t="s">
        <v>22</v>
      </c>
    </row>
    <row r="57" spans="1:6" s="6" customFormat="1" x14ac:dyDescent="0.25">
      <c r="A57" s="25" t="s">
        <v>40</v>
      </c>
      <c r="B57" s="26"/>
      <c r="D57" s="26"/>
      <c r="E57" s="26"/>
      <c r="F57" s="26"/>
    </row>
    <row r="58" spans="1:6" s="6" customFormat="1" x14ac:dyDescent="0.25">
      <c r="A58" s="25" t="s">
        <v>41</v>
      </c>
      <c r="B58" s="26"/>
      <c r="D58" s="53" t="s">
        <v>156</v>
      </c>
      <c r="E58" s="26" t="s">
        <v>158</v>
      </c>
      <c r="F58" s="26"/>
    </row>
    <row r="59" spans="1:6" s="1" customFormat="1" ht="15" x14ac:dyDescent="0.25">
      <c r="A59" s="18" t="s">
        <v>31</v>
      </c>
      <c r="B59" s="17">
        <f>B54</f>
        <v>34500</v>
      </c>
      <c r="D59" s="17">
        <f>D54</f>
        <v>99900.000090000001</v>
      </c>
      <c r="E59" s="17">
        <f>E54</f>
        <v>34813.636395000001</v>
      </c>
      <c r="F59" s="17">
        <f>F54</f>
        <v>34813.636395000001</v>
      </c>
    </row>
    <row r="60" spans="1:6" s="1" customFormat="1" ht="15" x14ac:dyDescent="0.25">
      <c r="A60" s="18" t="s">
        <v>42</v>
      </c>
      <c r="B60" s="17"/>
      <c r="D60" s="23"/>
      <c r="E60" s="23"/>
      <c r="F60" s="23"/>
    </row>
    <row r="61" spans="1:6" s="24" customFormat="1" x14ac:dyDescent="0.25">
      <c r="A61" s="22" t="s">
        <v>43</v>
      </c>
      <c r="B61" s="23"/>
      <c r="D61" s="23" t="s">
        <v>22</v>
      </c>
      <c r="E61" s="23" t="s">
        <v>22</v>
      </c>
      <c r="F61" s="23" t="s">
        <v>22</v>
      </c>
    </row>
    <row r="62" spans="1:6" s="24" customFormat="1" x14ac:dyDescent="0.25">
      <c r="A62" s="22" t="s">
        <v>44</v>
      </c>
      <c r="B62" s="23"/>
      <c r="D62" s="23" t="s">
        <v>22</v>
      </c>
      <c r="E62" s="23" t="s">
        <v>22</v>
      </c>
      <c r="F62" s="23" t="s">
        <v>22</v>
      </c>
    </row>
    <row r="63" spans="1:6" s="24" customFormat="1" x14ac:dyDescent="0.25">
      <c r="A63" s="22" t="s">
        <v>45</v>
      </c>
      <c r="B63" s="23"/>
      <c r="D63" s="23">
        <v>50454.550500000005</v>
      </c>
      <c r="E63" s="23">
        <v>50454.550500000005</v>
      </c>
      <c r="F63" s="23">
        <v>50454.550500000005</v>
      </c>
    </row>
    <row r="66" spans="1:6" s="1" customFormat="1" ht="15" x14ac:dyDescent="0.25">
      <c r="B66" s="59" t="s">
        <v>1</v>
      </c>
      <c r="D66" s="96" t="s">
        <v>2</v>
      </c>
      <c r="E66" s="97"/>
      <c r="F66" s="98"/>
    </row>
    <row r="67" spans="1:6" s="1" customFormat="1" ht="15" x14ac:dyDescent="0.25">
      <c r="A67" s="9" t="s">
        <v>3</v>
      </c>
      <c r="B67" s="10" t="s">
        <v>159</v>
      </c>
      <c r="D67" s="10" t="s">
        <v>5</v>
      </c>
      <c r="E67" s="10" t="s">
        <v>6</v>
      </c>
      <c r="F67" s="10" t="s">
        <v>7</v>
      </c>
    </row>
    <row r="68" spans="1:6" s="1" customFormat="1" ht="15" x14ac:dyDescent="0.25">
      <c r="A68" s="12" t="s">
        <v>9</v>
      </c>
      <c r="B68" s="13"/>
      <c r="D68" s="99" t="s">
        <v>120</v>
      </c>
      <c r="E68" s="101"/>
      <c r="F68" s="61"/>
    </row>
    <row r="69" spans="1:6" s="1" customFormat="1" ht="15" x14ac:dyDescent="0.25">
      <c r="A69" s="14" t="s">
        <v>11</v>
      </c>
      <c r="B69" s="15"/>
      <c r="D69" s="15" t="s">
        <v>160</v>
      </c>
      <c r="E69" s="15" t="s">
        <v>160</v>
      </c>
      <c r="F69" s="15"/>
    </row>
    <row r="70" spans="1:6" s="1" customFormat="1" x14ac:dyDescent="0.25">
      <c r="A70" s="16" t="s">
        <v>16</v>
      </c>
      <c r="B70" s="17">
        <v>19172.727290000003</v>
      </c>
      <c r="D70" s="17">
        <f>19000*100.909091%</f>
        <v>19172.727290000003</v>
      </c>
      <c r="E70" s="17">
        <f>19000*100.909091%</f>
        <v>19172.727290000003</v>
      </c>
      <c r="F70" s="17"/>
    </row>
    <row r="71" spans="1:6" s="1" customFormat="1" ht="15" x14ac:dyDescent="0.25">
      <c r="A71" s="18" t="s">
        <v>17</v>
      </c>
      <c r="B71" s="17">
        <v>191727.27290000004</v>
      </c>
      <c r="D71" s="17">
        <f>D70*10</f>
        <v>191727.27290000004</v>
      </c>
      <c r="E71" s="17">
        <f>E70*10</f>
        <v>191727.27290000004</v>
      </c>
      <c r="F71" s="17"/>
    </row>
    <row r="72" spans="1:6" s="1" customFormat="1" ht="15" x14ac:dyDescent="0.25">
      <c r="A72" s="18" t="s">
        <v>18</v>
      </c>
      <c r="B72" s="19"/>
      <c r="C72" s="20"/>
      <c r="D72" s="19"/>
      <c r="E72" s="19"/>
      <c r="F72" s="19"/>
    </row>
    <row r="73" spans="1:6" s="24" customFormat="1" x14ac:dyDescent="0.25">
      <c r="A73" s="22" t="s">
        <v>19</v>
      </c>
      <c r="B73" s="23"/>
      <c r="D73" s="23" t="s">
        <v>51</v>
      </c>
      <c r="E73" s="23" t="s">
        <v>51</v>
      </c>
      <c r="F73" s="23"/>
    </row>
    <row r="74" spans="1:6" s="24" customFormat="1" x14ac:dyDescent="0.25">
      <c r="A74" s="22" t="s">
        <v>23</v>
      </c>
      <c r="B74" s="23"/>
      <c r="D74" s="23" t="s">
        <v>51</v>
      </c>
      <c r="E74" s="23" t="s">
        <v>51</v>
      </c>
      <c r="F74" s="23"/>
    </row>
    <row r="75" spans="1:6" s="24" customFormat="1" x14ac:dyDescent="0.25">
      <c r="A75" s="22" t="s">
        <v>24</v>
      </c>
      <c r="B75" s="23"/>
      <c r="D75" s="23" t="s">
        <v>51</v>
      </c>
      <c r="E75" s="23" t="s">
        <v>51</v>
      </c>
      <c r="F75" s="23"/>
    </row>
    <row r="76" spans="1:6" s="24" customFormat="1" x14ac:dyDescent="0.25">
      <c r="A76" s="22"/>
      <c r="B76" s="23"/>
      <c r="D76" s="62"/>
      <c r="E76" s="62"/>
      <c r="F76" s="63"/>
    </row>
    <row r="77" spans="1:6" s="6" customFormat="1" x14ac:dyDescent="0.25">
      <c r="A77" s="25" t="s">
        <v>26</v>
      </c>
      <c r="B77" s="26" t="s">
        <v>27</v>
      </c>
      <c r="D77" s="26" t="s">
        <v>161</v>
      </c>
      <c r="E77" s="26" t="s">
        <v>161</v>
      </c>
      <c r="F77" s="26"/>
    </row>
    <row r="78" spans="1:6" s="6" customFormat="1" x14ac:dyDescent="0.2">
      <c r="A78" s="106" t="s">
        <v>29</v>
      </c>
      <c r="B78" s="108"/>
      <c r="D78" s="110" t="s">
        <v>162</v>
      </c>
      <c r="E78" s="64" t="s">
        <v>162</v>
      </c>
      <c r="F78" s="108"/>
    </row>
    <row r="79" spans="1:6" s="6" customFormat="1" x14ac:dyDescent="0.25">
      <c r="A79" s="107"/>
      <c r="B79" s="109"/>
      <c r="D79" s="111"/>
      <c r="E79" s="65" t="s">
        <v>163</v>
      </c>
      <c r="F79" s="109"/>
    </row>
    <row r="80" spans="1:6" s="1" customFormat="1" ht="15" x14ac:dyDescent="0.25">
      <c r="A80" s="18" t="s">
        <v>31</v>
      </c>
      <c r="B80" s="17">
        <f>B70</f>
        <v>19172.727290000003</v>
      </c>
      <c r="D80" s="17">
        <f>D70</f>
        <v>19172.727290000003</v>
      </c>
      <c r="E80" s="17">
        <f>E70</f>
        <v>19172.727290000003</v>
      </c>
      <c r="F80" s="17"/>
    </row>
    <row r="81" spans="1:6" s="20" customFormat="1" ht="15" x14ac:dyDescent="0.25">
      <c r="A81" s="18" t="s">
        <v>32</v>
      </c>
      <c r="B81" s="19"/>
      <c r="D81" s="19"/>
      <c r="E81" s="19"/>
      <c r="F81" s="19"/>
    </row>
    <row r="82" spans="1:6" s="1" customFormat="1" x14ac:dyDescent="0.25">
      <c r="A82" s="22" t="s">
        <v>19</v>
      </c>
      <c r="B82" s="23"/>
      <c r="C82" s="24"/>
      <c r="D82" s="23" t="s">
        <v>22</v>
      </c>
      <c r="E82" s="23" t="s">
        <v>22</v>
      </c>
      <c r="F82" s="23"/>
    </row>
    <row r="83" spans="1:6" s="1" customFormat="1" x14ac:dyDescent="0.25">
      <c r="A83" s="22" t="s">
        <v>23</v>
      </c>
      <c r="B83" s="23"/>
      <c r="C83" s="24"/>
      <c r="D83" s="23" t="s">
        <v>22</v>
      </c>
      <c r="E83" s="23" t="s">
        <v>22</v>
      </c>
      <c r="F83" s="23"/>
    </row>
    <row r="84" spans="1:6" s="1" customFormat="1" x14ac:dyDescent="0.25">
      <c r="A84" s="22" t="s">
        <v>24</v>
      </c>
      <c r="B84" s="23"/>
      <c r="C84" s="24"/>
      <c r="D84" s="23">
        <v>50454.550500000005</v>
      </c>
      <c r="E84" s="23">
        <v>50454.550500000005</v>
      </c>
      <c r="F84" s="23"/>
    </row>
    <row r="85" spans="1:6" s="1" customFormat="1" x14ac:dyDescent="0.25">
      <c r="A85" s="27" t="s">
        <v>34</v>
      </c>
      <c r="B85" s="28"/>
      <c r="D85" s="28">
        <v>423818</v>
      </c>
      <c r="E85" s="28">
        <v>423818</v>
      </c>
      <c r="F85" s="60"/>
    </row>
    <row r="86" spans="1:6" s="1" customFormat="1" ht="15" x14ac:dyDescent="0.25">
      <c r="A86" s="29" t="s">
        <v>36</v>
      </c>
      <c r="B86" s="30"/>
      <c r="D86" s="30"/>
      <c r="E86" s="30"/>
      <c r="F86" s="30"/>
    </row>
    <row r="87" spans="1:6" s="1" customFormat="1" x14ac:dyDescent="0.25">
      <c r="A87" s="16" t="s">
        <v>37</v>
      </c>
      <c r="B87" s="17">
        <v>9500</v>
      </c>
      <c r="D87" s="17">
        <f>9500*100.909091%</f>
        <v>9586.3636450000013</v>
      </c>
      <c r="E87" s="17">
        <f>9500*100.909091%</f>
        <v>9586.3636450000013</v>
      </c>
      <c r="F87" s="17"/>
    </row>
    <row r="88" spans="1:6" s="1" customFormat="1" ht="15" x14ac:dyDescent="0.25">
      <c r="A88" s="18" t="s">
        <v>38</v>
      </c>
      <c r="B88" s="17">
        <f>B87*12</f>
        <v>114000</v>
      </c>
      <c r="D88" s="17">
        <f>D87*12</f>
        <v>115036.36374000002</v>
      </c>
      <c r="E88" s="17">
        <f>E87*12</f>
        <v>115036.36374000002</v>
      </c>
      <c r="F88" s="17"/>
    </row>
    <row r="89" spans="1:6" s="1" customFormat="1" ht="15" x14ac:dyDescent="0.25">
      <c r="A89" s="18" t="s">
        <v>39</v>
      </c>
      <c r="B89" s="17"/>
      <c r="D89" s="23" t="s">
        <v>22</v>
      </c>
      <c r="E89" s="23" t="s">
        <v>22</v>
      </c>
      <c r="F89" s="23"/>
    </row>
    <row r="90" spans="1:6" s="6" customFormat="1" x14ac:dyDescent="0.25">
      <c r="A90" s="25" t="s">
        <v>40</v>
      </c>
      <c r="B90" s="26"/>
      <c r="D90" s="26"/>
      <c r="E90" s="26"/>
      <c r="F90" s="26"/>
    </row>
    <row r="91" spans="1:6" s="6" customFormat="1" x14ac:dyDescent="0.2">
      <c r="A91" s="106" t="s">
        <v>41</v>
      </c>
      <c r="B91" s="108"/>
      <c r="D91" s="110" t="s">
        <v>162</v>
      </c>
      <c r="E91" s="64" t="s">
        <v>162</v>
      </c>
      <c r="F91" s="108"/>
    </row>
    <row r="92" spans="1:6" s="6" customFormat="1" x14ac:dyDescent="0.25">
      <c r="A92" s="107"/>
      <c r="B92" s="109"/>
      <c r="D92" s="111"/>
      <c r="E92" s="65" t="s">
        <v>163</v>
      </c>
      <c r="F92" s="109"/>
    </row>
    <row r="93" spans="1:6" s="1" customFormat="1" ht="15" x14ac:dyDescent="0.25">
      <c r="A93" s="18" t="s">
        <v>31</v>
      </c>
      <c r="B93" s="17">
        <f>B87</f>
        <v>9500</v>
      </c>
      <c r="D93" s="17">
        <f>D87</f>
        <v>9586.3636450000013</v>
      </c>
      <c r="E93" s="17">
        <f>E87</f>
        <v>9586.3636450000013</v>
      </c>
      <c r="F93" s="17"/>
    </row>
    <row r="94" spans="1:6" s="1" customFormat="1" ht="15" x14ac:dyDescent="0.25">
      <c r="A94" s="18" t="s">
        <v>42</v>
      </c>
      <c r="B94" s="17"/>
      <c r="D94" s="23"/>
      <c r="E94" s="23"/>
      <c r="F94" s="23"/>
    </row>
    <row r="95" spans="1:6" s="24" customFormat="1" x14ac:dyDescent="0.25">
      <c r="A95" s="22" t="s">
        <v>43</v>
      </c>
      <c r="B95" s="23"/>
      <c r="D95" s="23" t="s">
        <v>22</v>
      </c>
      <c r="E95" s="23" t="s">
        <v>22</v>
      </c>
      <c r="F95" s="23"/>
    </row>
    <row r="96" spans="1:6" s="24" customFormat="1" x14ac:dyDescent="0.25">
      <c r="A96" s="22" t="s">
        <v>44</v>
      </c>
      <c r="B96" s="23"/>
      <c r="D96" s="23" t="s">
        <v>22</v>
      </c>
      <c r="E96" s="23" t="s">
        <v>22</v>
      </c>
      <c r="F96" s="23"/>
    </row>
    <row r="97" spans="1:6" s="24" customFormat="1" x14ac:dyDescent="0.25">
      <c r="A97" s="22" t="s">
        <v>45</v>
      </c>
      <c r="B97" s="23"/>
      <c r="D97" s="23">
        <v>50454.550500000005</v>
      </c>
      <c r="E97" s="23">
        <v>50454.550500000005</v>
      </c>
      <c r="F97" s="23"/>
    </row>
  </sheetData>
  <sheetProtection algorithmName="SHA-512" hashValue="84GtdXyQsNcQxBqXMc5SWl7pWzQ3CkdAXr0Hq4jxWHOVUZg6hMk4Mjc17p8I/yI1keJxOpHwqtO0SIROHK/IRg==" saltValue="4xiCggMZVUZ/cAVv9mFg3g==" spinCount="100000" sheet="1" objects="1" scenarios="1"/>
  <mergeCells count="14">
    <mergeCell ref="D68:E68"/>
    <mergeCell ref="D5:F5"/>
    <mergeCell ref="D7:F7"/>
    <mergeCell ref="D35:F35"/>
    <mergeCell ref="E37:F37"/>
    <mergeCell ref="D66:F66"/>
    <mergeCell ref="A78:A79"/>
    <mergeCell ref="B78:B79"/>
    <mergeCell ref="D78:D79"/>
    <mergeCell ref="F78:F79"/>
    <mergeCell ref="A91:A92"/>
    <mergeCell ref="B91:B92"/>
    <mergeCell ref="D91:D92"/>
    <mergeCell ref="F91:F9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showGridLines="0" zoomScale="80" zoomScaleNormal="80" workbookViewId="0">
      <selection activeCell="C15" sqref="C15:C16"/>
    </sheetView>
  </sheetViews>
  <sheetFormatPr defaultColWidth="9.140625" defaultRowHeight="15" x14ac:dyDescent="0.25"/>
  <cols>
    <col min="1" max="1" width="3.5703125" style="58" customWidth="1"/>
    <col min="2" max="2" width="25.42578125" style="58" customWidth="1"/>
    <col min="3" max="3" width="20.28515625" style="58" customWidth="1"/>
    <col min="4" max="4" width="12.42578125" style="68" customWidth="1"/>
    <col min="5" max="6" width="13.5703125" style="58" customWidth="1"/>
    <col min="7" max="7" width="19.7109375" style="68" customWidth="1"/>
    <col min="8" max="9" width="14.28515625" style="58" customWidth="1"/>
    <col min="10" max="16384" width="9.140625" style="58"/>
  </cols>
  <sheetData>
    <row r="2" spans="2:9" x14ac:dyDescent="0.25">
      <c r="B2" s="66" t="s">
        <v>164</v>
      </c>
      <c r="C2" s="66"/>
      <c r="D2" s="67"/>
    </row>
    <row r="4" spans="2:9" hidden="1" x14ac:dyDescent="0.25">
      <c r="B4" s="66" t="s">
        <v>165</v>
      </c>
      <c r="C4" s="66"/>
      <c r="D4" s="67"/>
    </row>
    <row r="5" spans="2:9" hidden="1" x14ac:dyDescent="0.25">
      <c r="B5" s="69" t="s">
        <v>166</v>
      </c>
      <c r="C5" s="69"/>
    </row>
    <row r="6" spans="2:9" hidden="1" x14ac:dyDescent="0.25">
      <c r="B6" s="69" t="s">
        <v>167</v>
      </c>
      <c r="C6" s="69"/>
    </row>
    <row r="7" spans="2:9" hidden="1" x14ac:dyDescent="0.25">
      <c r="B7" s="69" t="s">
        <v>168</v>
      </c>
      <c r="C7" s="69"/>
    </row>
    <row r="8" spans="2:9" hidden="1" x14ac:dyDescent="0.25"/>
    <row r="9" spans="2:9" hidden="1" x14ac:dyDescent="0.25">
      <c r="B9" s="70" t="s">
        <v>169</v>
      </c>
      <c r="C9" s="70"/>
      <c r="D9" s="67"/>
    </row>
    <row r="10" spans="2:9" hidden="1" x14ac:dyDescent="0.25">
      <c r="B10" s="71" t="s">
        <v>170</v>
      </c>
      <c r="C10" s="71"/>
      <c r="D10" s="67"/>
    </row>
    <row r="11" spans="2:9" hidden="1" x14ac:dyDescent="0.25">
      <c r="B11" s="69" t="s">
        <v>171</v>
      </c>
      <c r="C11" s="69"/>
    </row>
    <row r="12" spans="2:9" x14ac:dyDescent="0.25">
      <c r="B12" s="69"/>
      <c r="C12" s="69"/>
    </row>
    <row r="13" spans="2:9" x14ac:dyDescent="0.25">
      <c r="B13" s="66" t="s">
        <v>172</v>
      </c>
      <c r="C13" s="66"/>
    </row>
    <row r="15" spans="2:9" x14ac:dyDescent="0.25">
      <c r="B15" s="114" t="s">
        <v>173</v>
      </c>
      <c r="C15" s="115" t="s">
        <v>174</v>
      </c>
      <c r="D15" s="114" t="s">
        <v>175</v>
      </c>
      <c r="E15" s="114" t="s">
        <v>176</v>
      </c>
      <c r="F15" s="114"/>
      <c r="G15" s="116" t="s">
        <v>177</v>
      </c>
      <c r="H15" s="112" t="s">
        <v>178</v>
      </c>
      <c r="I15" s="113"/>
    </row>
    <row r="16" spans="2:9" s="73" customFormat="1" ht="30" x14ac:dyDescent="0.25">
      <c r="B16" s="114"/>
      <c r="C16" s="115"/>
      <c r="D16" s="114"/>
      <c r="E16" s="72" t="s">
        <v>179</v>
      </c>
      <c r="F16" s="72" t="s">
        <v>180</v>
      </c>
      <c r="G16" s="117"/>
      <c r="H16" s="72" t="s">
        <v>9</v>
      </c>
      <c r="I16" s="72" t="s">
        <v>36</v>
      </c>
    </row>
    <row r="17" spans="2:9" s="73" customFormat="1" x14ac:dyDescent="0.25">
      <c r="B17" s="74" t="s">
        <v>181</v>
      </c>
      <c r="C17" s="74" t="s">
        <v>59</v>
      </c>
      <c r="D17" s="75" t="s">
        <v>182</v>
      </c>
      <c r="E17" s="76">
        <f>(199000*3)*100.909091%</f>
        <v>602427.27327000001</v>
      </c>
      <c r="F17" s="77" t="s">
        <v>35</v>
      </c>
      <c r="G17" s="78" t="s">
        <v>183</v>
      </c>
      <c r="H17" s="76">
        <f>199000*100.909091%</f>
        <v>200809.09109</v>
      </c>
      <c r="I17" s="77"/>
    </row>
    <row r="18" spans="2:9" x14ac:dyDescent="0.25">
      <c r="B18" s="79" t="s">
        <v>184</v>
      </c>
      <c r="C18" s="74" t="s">
        <v>59</v>
      </c>
      <c r="D18" s="80" t="s">
        <v>185</v>
      </c>
      <c r="E18" s="81">
        <f>297000*100.909091%</f>
        <v>299700.00027000002</v>
      </c>
      <c r="F18" s="81">
        <f>150000*100.909091%</f>
        <v>151363.63650000002</v>
      </c>
      <c r="G18" s="80" t="s">
        <v>35</v>
      </c>
      <c r="H18" s="81">
        <f>99000*100.909091%</f>
        <v>99900.000090000001</v>
      </c>
      <c r="I18" s="81">
        <f>50000*100.909091%</f>
        <v>50454.5455</v>
      </c>
    </row>
    <row r="19" spans="2:9" x14ac:dyDescent="0.25">
      <c r="B19" s="79" t="s">
        <v>84</v>
      </c>
      <c r="C19" s="74" t="s">
        <v>59</v>
      </c>
      <c r="D19" s="80" t="s">
        <v>186</v>
      </c>
      <c r="E19" s="81">
        <f>495000*100.909091%</f>
        <v>499500.00045000005</v>
      </c>
      <c r="F19" s="81">
        <f>300000*100.909091%</f>
        <v>302727.27300000004</v>
      </c>
      <c r="G19" s="80" t="s">
        <v>35</v>
      </c>
      <c r="H19" s="81">
        <f>99000*100.909091%</f>
        <v>99900.000090000001</v>
      </c>
      <c r="I19" s="81">
        <f>50000*100.909091%</f>
        <v>50454.5455</v>
      </c>
    </row>
    <row r="20" spans="2:9" x14ac:dyDescent="0.25">
      <c r="B20" s="79" t="s">
        <v>187</v>
      </c>
      <c r="C20" s="79" t="s">
        <v>120</v>
      </c>
      <c r="D20" s="80" t="s">
        <v>186</v>
      </c>
      <c r="E20" s="81">
        <f>345000*100.909091%</f>
        <v>348136.36395000003</v>
      </c>
      <c r="F20" s="81">
        <f>207000*100.909091%</f>
        <v>208881.81837000002</v>
      </c>
      <c r="G20" s="80" t="s">
        <v>35</v>
      </c>
      <c r="H20" s="81">
        <f>69000*100.909091%</f>
        <v>69627.272790000003</v>
      </c>
      <c r="I20" s="81">
        <f>34500*100.909091%</f>
        <v>34813.636395000001</v>
      </c>
    </row>
    <row r="21" spans="2:9" x14ac:dyDescent="0.25">
      <c r="B21" s="79" t="s">
        <v>81</v>
      </c>
      <c r="C21" s="74" t="s">
        <v>59</v>
      </c>
      <c r="D21" s="80" t="s">
        <v>188</v>
      </c>
      <c r="E21" s="81">
        <f>990000*100.909091%</f>
        <v>999000.0009000001</v>
      </c>
      <c r="F21" s="81">
        <f>600000*100.909091%</f>
        <v>605454.54600000009</v>
      </c>
      <c r="G21" s="80" t="s">
        <v>35</v>
      </c>
      <c r="H21" s="81">
        <f>99000*100.909091%</f>
        <v>99900.000090000001</v>
      </c>
      <c r="I21" s="81">
        <f>50000*100.909091%</f>
        <v>50454.5455</v>
      </c>
    </row>
    <row r="22" spans="2:9" x14ac:dyDescent="0.25">
      <c r="B22" s="79" t="s">
        <v>189</v>
      </c>
      <c r="C22" s="79" t="s">
        <v>74</v>
      </c>
      <c r="D22" s="80" t="s">
        <v>188</v>
      </c>
      <c r="E22" s="81">
        <f>590000*100.909091%</f>
        <v>595363.63690000004</v>
      </c>
      <c r="F22" s="81">
        <f>590000*100.909091%</f>
        <v>595363.63690000004</v>
      </c>
      <c r="G22" s="80" t="s">
        <v>35</v>
      </c>
      <c r="H22" s="81">
        <f>59000*100.909091%</f>
        <v>59536.363690000006</v>
      </c>
      <c r="I22" s="81">
        <f>59000*100.909091%</f>
        <v>59536.363690000006</v>
      </c>
    </row>
    <row r="24" spans="2:9" x14ac:dyDescent="0.25">
      <c r="B24" s="66" t="s">
        <v>190</v>
      </c>
      <c r="C24" s="66"/>
    </row>
    <row r="25" spans="2:9" x14ac:dyDescent="0.25">
      <c r="B25" s="58" t="s">
        <v>191</v>
      </c>
    </row>
    <row r="26" spans="2:9" x14ac:dyDescent="0.25">
      <c r="B26" s="58" t="s">
        <v>192</v>
      </c>
    </row>
    <row r="27" spans="2:9" x14ac:dyDescent="0.25">
      <c r="B27" s="58" t="s">
        <v>193</v>
      </c>
    </row>
    <row r="28" spans="2:9" x14ac:dyDescent="0.25">
      <c r="B28" s="58" t="s">
        <v>194</v>
      </c>
    </row>
    <row r="29" spans="2:9" x14ac:dyDescent="0.25">
      <c r="B29" s="58" t="s">
        <v>195</v>
      </c>
    </row>
    <row r="30" spans="2:9" x14ac:dyDescent="0.25">
      <c r="B30" s="58" t="s">
        <v>196</v>
      </c>
    </row>
    <row r="32" spans="2:9" x14ac:dyDescent="0.25">
      <c r="B32" s="58" t="s">
        <v>197</v>
      </c>
    </row>
    <row r="33" spans="2:2" x14ac:dyDescent="0.25">
      <c r="B33" s="58" t="s">
        <v>198</v>
      </c>
    </row>
  </sheetData>
  <sheetProtection algorithmName="SHA-512" hashValue="E2RYYPRiHsON01j05YUDl0hnwdjDMKV9ZmyJYfMgswUynQVg57873skTvo6/Yqa/OmwMPp991WFWAKAHOWWXrA==" saltValue="RU7e4sJeqOXFIeri+/0z1Q==" spinCount="100000" sheet="1" objects="1" scenarios="1"/>
  <mergeCells count="6">
    <mergeCell ref="H15:I15"/>
    <mergeCell ref="B15:B16"/>
    <mergeCell ref="C15:C16"/>
    <mergeCell ref="D15:D16"/>
    <mergeCell ref="E15:F15"/>
    <mergeCell ref="G15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zoomScale="80" zoomScaleNormal="80" workbookViewId="0">
      <selection activeCell="E8" sqref="E8"/>
    </sheetView>
  </sheetViews>
  <sheetFormatPr defaultRowHeight="15" x14ac:dyDescent="0.25"/>
  <cols>
    <col min="1" max="1" width="2" customWidth="1"/>
    <col min="2" max="2" width="19.5703125" customWidth="1"/>
    <col min="3" max="3" width="21.5703125" customWidth="1"/>
    <col min="4" max="4" width="19.42578125" customWidth="1"/>
    <col min="5" max="5" width="19.28515625" style="82" customWidth="1"/>
    <col min="6" max="6" width="56.7109375" bestFit="1" customWidth="1"/>
    <col min="7" max="7" width="25.7109375" style="82" bestFit="1" customWidth="1"/>
    <col min="8" max="8" width="63.42578125" style="82" customWidth="1"/>
  </cols>
  <sheetData>
    <row r="1" spans="2:8" x14ac:dyDescent="0.25">
      <c r="G1" s="58"/>
    </row>
    <row r="2" spans="2:8" ht="15.75" x14ac:dyDescent="0.25">
      <c r="B2" s="83" t="s">
        <v>199</v>
      </c>
    </row>
    <row r="4" spans="2:8" x14ac:dyDescent="0.25">
      <c r="B4" s="84" t="s">
        <v>200</v>
      </c>
      <c r="C4" s="84"/>
      <c r="D4" s="84"/>
      <c r="E4" s="85"/>
      <c r="F4" s="84"/>
      <c r="G4" s="84"/>
      <c r="H4" s="84"/>
    </row>
    <row r="5" spans="2:8" x14ac:dyDescent="0.25">
      <c r="B5" s="86" t="s">
        <v>173</v>
      </c>
      <c r="C5" s="86" t="s">
        <v>201</v>
      </c>
      <c r="D5" s="87" t="s">
        <v>174</v>
      </c>
      <c r="E5" s="88" t="s">
        <v>202</v>
      </c>
      <c r="F5" s="86" t="s">
        <v>203</v>
      </c>
      <c r="G5" s="86" t="s">
        <v>204</v>
      </c>
      <c r="H5" s="86" t="s">
        <v>205</v>
      </c>
    </row>
    <row r="6" spans="2:8" x14ac:dyDescent="0.25">
      <c r="B6" s="89" t="s">
        <v>206</v>
      </c>
      <c r="C6" s="89" t="s">
        <v>207</v>
      </c>
      <c r="D6" s="89" t="s">
        <v>59</v>
      </c>
      <c r="E6" s="90">
        <f>60000*100.909091%</f>
        <v>60545.454600000005</v>
      </c>
      <c r="F6" s="89" t="s">
        <v>208</v>
      </c>
      <c r="G6" s="89" t="s">
        <v>209</v>
      </c>
      <c r="H6" s="118" t="s">
        <v>210</v>
      </c>
    </row>
    <row r="7" spans="2:8" x14ac:dyDescent="0.25">
      <c r="B7" s="89" t="s">
        <v>211</v>
      </c>
      <c r="C7" s="89" t="s">
        <v>207</v>
      </c>
      <c r="D7" s="89" t="s">
        <v>59</v>
      </c>
      <c r="E7" s="90">
        <f>65000*100.909091%</f>
        <v>65590.909150000007</v>
      </c>
      <c r="F7" s="89" t="s">
        <v>208</v>
      </c>
      <c r="G7" s="89" t="s">
        <v>209</v>
      </c>
      <c r="H7" s="119"/>
    </row>
    <row r="8" spans="2:8" x14ac:dyDescent="0.25">
      <c r="B8" s="89" t="s">
        <v>212</v>
      </c>
      <c r="C8" s="89" t="s">
        <v>207</v>
      </c>
      <c r="D8" s="89" t="s">
        <v>59</v>
      </c>
      <c r="E8" s="90">
        <f>75000*100.909091%</f>
        <v>75681.818250000011</v>
      </c>
      <c r="F8" s="89" t="s">
        <v>208</v>
      </c>
      <c r="G8" s="89" t="s">
        <v>209</v>
      </c>
      <c r="H8" s="119"/>
    </row>
    <row r="9" spans="2:8" x14ac:dyDescent="0.25">
      <c r="B9" s="91" t="s">
        <v>213</v>
      </c>
      <c r="C9" s="91" t="s">
        <v>207</v>
      </c>
      <c r="D9" s="91" t="s">
        <v>59</v>
      </c>
      <c r="E9" s="92">
        <f>85000*100.909091%</f>
        <v>85772.727350000001</v>
      </c>
      <c r="F9" s="91" t="s">
        <v>214</v>
      </c>
      <c r="G9" s="91" t="s">
        <v>209</v>
      </c>
      <c r="H9" s="120"/>
    </row>
    <row r="11" spans="2:8" x14ac:dyDescent="0.25">
      <c r="B11" s="84" t="s">
        <v>215</v>
      </c>
      <c r="C11" s="84"/>
      <c r="D11" s="84"/>
      <c r="E11" s="85"/>
      <c r="F11" s="84"/>
      <c r="G11" s="84"/>
    </row>
    <row r="12" spans="2:8" x14ac:dyDescent="0.25">
      <c r="B12" s="86" t="s">
        <v>173</v>
      </c>
      <c r="C12" s="86" t="s">
        <v>201</v>
      </c>
      <c r="D12" s="87" t="s">
        <v>174</v>
      </c>
      <c r="E12" s="88" t="s">
        <v>202</v>
      </c>
      <c r="F12" s="86" t="s">
        <v>203</v>
      </c>
      <c r="G12" s="86" t="s">
        <v>204</v>
      </c>
    </row>
    <row r="13" spans="2:8" x14ac:dyDescent="0.25">
      <c r="B13" s="89" t="s">
        <v>206</v>
      </c>
      <c r="C13" s="89" t="s">
        <v>216</v>
      </c>
      <c r="D13" s="89" t="s">
        <v>74</v>
      </c>
      <c r="E13" s="90">
        <f>590000*100.909091%</f>
        <v>595363.63690000004</v>
      </c>
      <c r="F13" s="89" t="s">
        <v>217</v>
      </c>
      <c r="G13" s="90">
        <f>59000*100.909091%</f>
        <v>59536.363690000006</v>
      </c>
    </row>
    <row r="14" spans="2:8" x14ac:dyDescent="0.25">
      <c r="B14" s="89" t="s">
        <v>211</v>
      </c>
      <c r="C14" s="89" t="s">
        <v>216</v>
      </c>
      <c r="D14" s="89" t="s">
        <v>74</v>
      </c>
      <c r="E14" s="90">
        <f>295000*100.909091%</f>
        <v>297681.81845000002</v>
      </c>
      <c r="F14" s="89" t="s">
        <v>217</v>
      </c>
      <c r="G14" s="90">
        <f>59000*100.909091%</f>
        <v>59536.363690000006</v>
      </c>
    </row>
    <row r="15" spans="2:8" x14ac:dyDescent="0.25">
      <c r="B15" s="91" t="s">
        <v>213</v>
      </c>
      <c r="C15" s="91" t="s">
        <v>216</v>
      </c>
      <c r="D15" s="91" t="s">
        <v>74</v>
      </c>
      <c r="E15" s="92">
        <f>59000*100.909091%</f>
        <v>59536.363690000006</v>
      </c>
      <c r="F15" s="91" t="s">
        <v>218</v>
      </c>
      <c r="G15" s="92">
        <f>59000*100.909091%</f>
        <v>59536.363690000006</v>
      </c>
    </row>
  </sheetData>
  <sheetProtection algorithmName="SHA-512" hashValue="J5PriFTdHoHokfP7Fl8i2iBL7vZgRA783KfhcqBxFB9odHSlxC3i4JC7ImUOtDuiB1qYPHjU5RdevUYKHnGZdw==" saltValue="gFTz5CXQS36/Ht0cf2q/0A==" spinCount="100000" sheet="1" objects="1" scenarios="1"/>
  <mergeCells count="1">
    <mergeCell ref="H6:H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showGridLines="0" zoomScale="80" zoomScaleNormal="80" workbookViewId="0">
      <selection activeCell="D4" sqref="D4:F4"/>
    </sheetView>
  </sheetViews>
  <sheetFormatPr defaultRowHeight="15" x14ac:dyDescent="0.25"/>
  <cols>
    <col min="1" max="1" width="57.28515625" customWidth="1"/>
    <col min="2" max="2" width="32.28515625" customWidth="1"/>
    <col min="3" max="3" width="2.28515625" customWidth="1"/>
    <col min="4" max="4" width="36.85546875" customWidth="1"/>
    <col min="5" max="5" width="37.85546875" bestFit="1" customWidth="1"/>
    <col min="6" max="6" width="37" customWidth="1"/>
    <col min="7" max="7" width="2.140625" customWidth="1"/>
    <col min="8" max="8" width="31.28515625" bestFit="1" customWidth="1"/>
    <col min="9" max="9" width="29.140625" bestFit="1" customWidth="1"/>
  </cols>
  <sheetData>
    <row r="1" spans="1:6" x14ac:dyDescent="0.25">
      <c r="F1" s="58"/>
    </row>
    <row r="2" spans="1:6" ht="21" x14ac:dyDescent="0.35">
      <c r="A2" s="93" t="s">
        <v>219</v>
      </c>
    </row>
    <row r="4" spans="1:6" x14ac:dyDescent="0.25">
      <c r="A4" s="1"/>
      <c r="B4" s="7" t="s">
        <v>1</v>
      </c>
      <c r="C4" s="1"/>
      <c r="D4" s="96" t="s">
        <v>72</v>
      </c>
      <c r="E4" s="97"/>
      <c r="F4" s="98"/>
    </row>
    <row r="5" spans="1:6" ht="30" x14ac:dyDescent="0.25">
      <c r="A5" s="9" t="s">
        <v>3</v>
      </c>
      <c r="B5" s="32" t="s">
        <v>220</v>
      </c>
      <c r="C5" s="1"/>
      <c r="D5" s="10" t="s">
        <v>5</v>
      </c>
      <c r="E5" s="10" t="s">
        <v>6</v>
      </c>
      <c r="F5" s="10" t="s">
        <v>7</v>
      </c>
    </row>
    <row r="6" spans="1:6" x14ac:dyDescent="0.25">
      <c r="A6" s="12" t="s">
        <v>9</v>
      </c>
      <c r="B6" s="13"/>
      <c r="C6" s="1"/>
      <c r="D6" s="99" t="s">
        <v>59</v>
      </c>
      <c r="E6" s="101"/>
      <c r="F6" s="48" t="s">
        <v>74</v>
      </c>
    </row>
    <row r="7" spans="1:6" x14ac:dyDescent="0.25">
      <c r="A7" s="14" t="s">
        <v>11</v>
      </c>
      <c r="B7" s="15"/>
      <c r="C7" s="1"/>
      <c r="D7" s="15" t="s">
        <v>61</v>
      </c>
      <c r="E7" s="15" t="s">
        <v>70</v>
      </c>
      <c r="F7" s="15" t="s">
        <v>76</v>
      </c>
    </row>
    <row r="8" spans="1:6" x14ac:dyDescent="0.25">
      <c r="A8" s="16" t="s">
        <v>16</v>
      </c>
      <c r="B8" s="17">
        <f>139000*100.909091%</f>
        <v>140263.63649</v>
      </c>
      <c r="C8" s="1"/>
      <c r="D8" s="17">
        <f>139000*100.909091%</f>
        <v>140263.63649</v>
      </c>
      <c r="E8" s="17">
        <f>99000*100.909091%</f>
        <v>99900.000090000001</v>
      </c>
      <c r="F8" s="17">
        <f>99000*100.909091%</f>
        <v>99900.000090000001</v>
      </c>
    </row>
    <row r="9" spans="1:6" x14ac:dyDescent="0.25">
      <c r="A9" s="18" t="s">
        <v>17</v>
      </c>
      <c r="B9" s="19">
        <f>1300000*100.909091%</f>
        <v>1311818.1830000002</v>
      </c>
      <c r="C9" s="20"/>
      <c r="D9" s="19">
        <f>1300000*100.909091%</f>
        <v>1311818.1830000002</v>
      </c>
      <c r="E9" s="19">
        <f>995000*100.909091%</f>
        <v>1004045.45545</v>
      </c>
      <c r="F9" s="19">
        <f>750000*100.909091%</f>
        <v>756818.1825</v>
      </c>
    </row>
    <row r="10" spans="1:6" x14ac:dyDescent="0.25">
      <c r="A10" s="18" t="s">
        <v>18</v>
      </c>
      <c r="B10" s="19"/>
      <c r="C10" s="20"/>
      <c r="D10" s="19"/>
      <c r="E10" s="19"/>
      <c r="F10" s="19"/>
    </row>
    <row r="11" spans="1:6" x14ac:dyDescent="0.25">
      <c r="A11" s="22" t="s">
        <v>19</v>
      </c>
      <c r="B11" s="23"/>
      <c r="C11" s="24"/>
      <c r="D11" s="23" t="s">
        <v>21</v>
      </c>
      <c r="E11" s="23" t="s">
        <v>21</v>
      </c>
      <c r="F11" s="23" t="s">
        <v>22</v>
      </c>
    </row>
    <row r="12" spans="1:6" x14ac:dyDescent="0.25">
      <c r="A12" s="22" t="s">
        <v>23</v>
      </c>
      <c r="B12" s="23"/>
      <c r="C12" s="24"/>
      <c r="D12" s="23" t="s">
        <v>21</v>
      </c>
      <c r="E12" s="23" t="s">
        <v>21</v>
      </c>
      <c r="F12" s="23" t="s">
        <v>22</v>
      </c>
    </row>
    <row r="13" spans="1:6" x14ac:dyDescent="0.25">
      <c r="A13" s="22" t="s">
        <v>24</v>
      </c>
      <c r="B13" s="23"/>
      <c r="C13" s="24"/>
      <c r="D13" s="23">
        <v>504544.95000000007</v>
      </c>
      <c r="E13" s="23">
        <v>504544.95000000007</v>
      </c>
      <c r="F13" s="23">
        <v>504544.95000000007</v>
      </c>
    </row>
    <row r="14" spans="1:6" x14ac:dyDescent="0.25">
      <c r="A14" s="25" t="s">
        <v>26</v>
      </c>
      <c r="B14" s="26"/>
      <c r="C14" s="6"/>
      <c r="D14" s="26"/>
      <c r="E14" s="26" t="s">
        <v>27</v>
      </c>
      <c r="F14" s="26"/>
    </row>
    <row r="15" spans="1:6" x14ac:dyDescent="0.25">
      <c r="A15" s="25" t="s">
        <v>29</v>
      </c>
      <c r="B15" s="26"/>
      <c r="C15" s="6"/>
      <c r="D15" s="26" t="s">
        <v>64</v>
      </c>
      <c r="E15" s="53" t="s">
        <v>221</v>
      </c>
      <c r="F15" s="53" t="s">
        <v>221</v>
      </c>
    </row>
    <row r="16" spans="1:6" x14ac:dyDescent="0.25">
      <c r="A16" s="18" t="s">
        <v>31</v>
      </c>
      <c r="B16" s="19">
        <f>B8</f>
        <v>140263.63649</v>
      </c>
      <c r="C16" s="20"/>
      <c r="D16" s="19">
        <f>D8</f>
        <v>140263.63649</v>
      </c>
      <c r="E16" s="19">
        <f>E8</f>
        <v>99900.000090000001</v>
      </c>
      <c r="F16" s="19">
        <f>F8</f>
        <v>99900.000090000001</v>
      </c>
    </row>
    <row r="17" spans="1:6" x14ac:dyDescent="0.25">
      <c r="A17" s="18" t="s">
        <v>32</v>
      </c>
      <c r="B17" s="19"/>
      <c r="C17" s="20"/>
      <c r="D17" s="19"/>
      <c r="E17" s="19"/>
      <c r="F17" s="19"/>
    </row>
    <row r="18" spans="1:6" x14ac:dyDescent="0.25">
      <c r="A18" s="22" t="s">
        <v>19</v>
      </c>
      <c r="B18" s="23"/>
      <c r="C18" s="24"/>
      <c r="D18" s="23">
        <v>20181.820200000002</v>
      </c>
      <c r="E18" s="23" t="s">
        <v>22</v>
      </c>
      <c r="F18" s="23" t="s">
        <v>33</v>
      </c>
    </row>
    <row r="19" spans="1:6" x14ac:dyDescent="0.25">
      <c r="A19" s="22" t="s">
        <v>23</v>
      </c>
      <c r="B19" s="23"/>
      <c r="C19" s="24"/>
      <c r="D19" s="23">
        <v>30272.730300000003</v>
      </c>
      <c r="E19" s="23" t="s">
        <v>22</v>
      </c>
      <c r="F19" s="23" t="s">
        <v>33</v>
      </c>
    </row>
    <row r="20" spans="1:6" x14ac:dyDescent="0.25">
      <c r="A20" s="22" t="s">
        <v>24</v>
      </c>
      <c r="B20" s="23"/>
      <c r="C20" s="24"/>
      <c r="D20" s="23">
        <v>50454.550500000005</v>
      </c>
      <c r="E20" s="23">
        <v>50454.550500000005</v>
      </c>
      <c r="F20" s="23">
        <v>50454.550500000005</v>
      </c>
    </row>
    <row r="21" spans="1:6" x14ac:dyDescent="0.25">
      <c r="A21" s="27" t="s">
        <v>34</v>
      </c>
      <c r="B21" s="28"/>
      <c r="C21" s="20"/>
      <c r="D21" s="28">
        <v>605454.55050000001</v>
      </c>
      <c r="E21" s="28">
        <v>605454.55050000001</v>
      </c>
      <c r="F21" s="28">
        <v>605454.55050000001</v>
      </c>
    </row>
    <row r="22" spans="1:6" x14ac:dyDescent="0.25">
      <c r="A22" s="29" t="s">
        <v>36</v>
      </c>
      <c r="B22" s="30"/>
      <c r="C22" s="1"/>
      <c r="D22" s="30"/>
      <c r="E22" s="31"/>
      <c r="F22" s="30"/>
    </row>
    <row r="23" spans="1:6" x14ac:dyDescent="0.25">
      <c r="A23" s="16" t="s">
        <v>37</v>
      </c>
      <c r="B23" s="17">
        <v>99500</v>
      </c>
      <c r="C23" s="1"/>
      <c r="D23" s="17">
        <f>50000*100.909091%</f>
        <v>50454.5455</v>
      </c>
      <c r="E23" s="17">
        <f>99500*100.909091%</f>
        <v>100404.545545</v>
      </c>
      <c r="F23" s="17">
        <f>40000*100.909091%</f>
        <v>40363.636400000003</v>
      </c>
    </row>
    <row r="24" spans="1:6" x14ac:dyDescent="0.25">
      <c r="A24" s="18" t="s">
        <v>38</v>
      </c>
      <c r="B24" s="19">
        <v>600000</v>
      </c>
      <c r="C24" s="20"/>
      <c r="D24" s="19">
        <f>600000*100.909091%</f>
        <v>605454.54600000009</v>
      </c>
      <c r="E24" s="19">
        <f>600000*100.909091%</f>
        <v>605454.54600000009</v>
      </c>
      <c r="F24" s="19">
        <f>400000*100.909091%</f>
        <v>403636.364</v>
      </c>
    </row>
    <row r="25" spans="1:6" x14ac:dyDescent="0.25">
      <c r="A25" s="18" t="s">
        <v>39</v>
      </c>
      <c r="B25" s="17"/>
      <c r="C25" s="1"/>
      <c r="D25" s="23" t="s">
        <v>22</v>
      </c>
      <c r="E25" s="23" t="s">
        <v>22</v>
      </c>
      <c r="F25" s="23" t="s">
        <v>22</v>
      </c>
    </row>
    <row r="26" spans="1:6" x14ac:dyDescent="0.25">
      <c r="A26" s="25" t="s">
        <v>40</v>
      </c>
      <c r="B26" s="26"/>
      <c r="C26" s="6"/>
      <c r="D26" s="26"/>
      <c r="E26" s="26"/>
      <c r="F26" s="26"/>
    </row>
    <row r="27" spans="1:6" x14ac:dyDescent="0.25">
      <c r="A27" s="25" t="s">
        <v>41</v>
      </c>
      <c r="B27" s="26"/>
      <c r="C27" s="6"/>
      <c r="D27" s="26"/>
      <c r="E27" s="26"/>
      <c r="F27" s="26"/>
    </row>
    <row r="28" spans="1:6" x14ac:dyDescent="0.25">
      <c r="A28" s="16" t="s">
        <v>31</v>
      </c>
      <c r="B28" s="17">
        <v>99000</v>
      </c>
      <c r="C28" s="1"/>
      <c r="D28" s="17">
        <f>D23</f>
        <v>50454.5455</v>
      </c>
      <c r="E28" s="17">
        <f>E23</f>
        <v>100404.545545</v>
      </c>
      <c r="F28" s="17">
        <f>F23</f>
        <v>40363.636400000003</v>
      </c>
    </row>
    <row r="29" spans="1:6" x14ac:dyDescent="0.25">
      <c r="A29" s="16" t="s">
        <v>42</v>
      </c>
      <c r="B29" s="17"/>
      <c r="C29" s="1"/>
      <c r="D29" s="23"/>
      <c r="E29" s="23"/>
      <c r="F29" s="23"/>
    </row>
    <row r="30" spans="1:6" x14ac:dyDescent="0.25">
      <c r="A30" s="22" t="s">
        <v>43</v>
      </c>
      <c r="B30" s="23"/>
      <c r="C30" s="24"/>
      <c r="D30" s="23" t="s">
        <v>22</v>
      </c>
      <c r="E30" s="23" t="s">
        <v>22</v>
      </c>
      <c r="F30" s="23" t="s">
        <v>22</v>
      </c>
    </row>
    <row r="31" spans="1:6" x14ac:dyDescent="0.25">
      <c r="A31" s="22" t="s">
        <v>44</v>
      </c>
      <c r="B31" s="23"/>
      <c r="C31" s="24"/>
      <c r="D31" s="23" t="s">
        <v>22</v>
      </c>
      <c r="E31" s="23" t="s">
        <v>22</v>
      </c>
      <c r="F31" s="23" t="s">
        <v>22</v>
      </c>
    </row>
    <row r="32" spans="1:6" x14ac:dyDescent="0.25">
      <c r="A32" s="22" t="s">
        <v>45</v>
      </c>
      <c r="B32" s="23"/>
      <c r="C32" s="24"/>
      <c r="D32" s="23">
        <v>50454.550500000005</v>
      </c>
      <c r="E32" s="23">
        <v>50454.550500000005</v>
      </c>
      <c r="F32" s="23">
        <v>50454.550500000005</v>
      </c>
    </row>
    <row r="33" spans="1:6" x14ac:dyDescent="0.25">
      <c r="A33" s="1"/>
      <c r="B33" s="2"/>
      <c r="C33" s="1"/>
      <c r="D33" s="2"/>
      <c r="E33" s="2"/>
      <c r="F33" s="2"/>
    </row>
    <row r="34" spans="1:6" x14ac:dyDescent="0.25">
      <c r="A34" s="1"/>
      <c r="B34" s="7" t="s">
        <v>1</v>
      </c>
      <c r="C34" s="1"/>
      <c r="D34" s="96" t="s">
        <v>72</v>
      </c>
      <c r="E34" s="97"/>
      <c r="F34" s="98"/>
    </row>
    <row r="35" spans="1:6" x14ac:dyDescent="0.25">
      <c r="A35" s="9" t="s">
        <v>3</v>
      </c>
      <c r="B35" s="10" t="s">
        <v>222</v>
      </c>
      <c r="C35" s="1"/>
      <c r="D35" s="10" t="s">
        <v>5</v>
      </c>
      <c r="E35" s="10" t="s">
        <v>6</v>
      </c>
      <c r="F35" s="10" t="s">
        <v>7</v>
      </c>
    </row>
    <row r="36" spans="1:6" x14ac:dyDescent="0.25">
      <c r="A36" s="12" t="s">
        <v>9</v>
      </c>
      <c r="B36" s="13"/>
      <c r="C36" s="1"/>
      <c r="D36" s="94" t="s">
        <v>59</v>
      </c>
      <c r="E36" s="99" t="s">
        <v>74</v>
      </c>
      <c r="F36" s="101"/>
    </row>
    <row r="37" spans="1:6" x14ac:dyDescent="0.25">
      <c r="A37" s="14" t="s">
        <v>11</v>
      </c>
      <c r="B37" s="15"/>
      <c r="C37" s="1"/>
      <c r="D37" s="15" t="s">
        <v>70</v>
      </c>
      <c r="E37" s="15" t="s">
        <v>76</v>
      </c>
      <c r="F37" s="15" t="s">
        <v>189</v>
      </c>
    </row>
    <row r="38" spans="1:6" x14ac:dyDescent="0.25">
      <c r="A38" s="16" t="s">
        <v>16</v>
      </c>
      <c r="B38" s="17">
        <f>99000*100.909091%</f>
        <v>99900.000090000001</v>
      </c>
      <c r="C38" s="1"/>
      <c r="D38" s="17">
        <f>99000*100.909091%</f>
        <v>99900.000090000001</v>
      </c>
      <c r="E38" s="17">
        <f>99000*100.909091%</f>
        <v>99900.000090000001</v>
      </c>
      <c r="F38" s="17">
        <f>99000*100.909091%</f>
        <v>99900.000090000001</v>
      </c>
    </row>
    <row r="39" spans="1:6" x14ac:dyDescent="0.25">
      <c r="A39" s="18" t="s">
        <v>17</v>
      </c>
      <c r="B39" s="19">
        <f>995000*100.909091%</f>
        <v>1004045.45545</v>
      </c>
      <c r="C39" s="20"/>
      <c r="D39" s="19">
        <f>995000*100.909091%</f>
        <v>1004045.45545</v>
      </c>
      <c r="E39" s="19">
        <f>750000*100.909091%</f>
        <v>756818.1825</v>
      </c>
      <c r="F39" s="19">
        <f>590000*100.909091%</f>
        <v>595363.63690000004</v>
      </c>
    </row>
    <row r="40" spans="1:6" x14ac:dyDescent="0.25">
      <c r="A40" s="18" t="s">
        <v>18</v>
      </c>
      <c r="B40" s="19"/>
      <c r="C40" s="20"/>
      <c r="D40" s="19"/>
      <c r="E40" s="19"/>
      <c r="F40" s="19"/>
    </row>
    <row r="41" spans="1:6" x14ac:dyDescent="0.25">
      <c r="A41" s="22" t="s">
        <v>19</v>
      </c>
      <c r="B41" s="23"/>
      <c r="C41" s="24"/>
      <c r="D41" s="23">
        <v>201818.17980000001</v>
      </c>
      <c r="E41" s="23" t="s">
        <v>77</v>
      </c>
      <c r="F41" s="23" t="s">
        <v>77</v>
      </c>
    </row>
    <row r="42" spans="1:6" x14ac:dyDescent="0.25">
      <c r="A42" s="22" t="s">
        <v>23</v>
      </c>
      <c r="B42" s="23"/>
      <c r="C42" s="24"/>
      <c r="D42" s="23">
        <v>302726.97000000003</v>
      </c>
      <c r="E42" s="23" t="s">
        <v>77</v>
      </c>
      <c r="F42" s="23" t="s">
        <v>77</v>
      </c>
    </row>
    <row r="43" spans="1:6" x14ac:dyDescent="0.25">
      <c r="A43" s="22" t="s">
        <v>24</v>
      </c>
      <c r="B43" s="23"/>
      <c r="C43" s="24"/>
      <c r="D43" s="23">
        <v>504544.95000000007</v>
      </c>
      <c r="E43" s="23">
        <v>504544.95000000007</v>
      </c>
      <c r="F43" s="23">
        <v>504544.95000000007</v>
      </c>
    </row>
    <row r="44" spans="1:6" x14ac:dyDescent="0.25">
      <c r="A44" s="25" t="s">
        <v>26</v>
      </c>
      <c r="B44" s="26" t="s">
        <v>27</v>
      </c>
      <c r="C44" s="6"/>
      <c r="D44" s="26" t="s">
        <v>27</v>
      </c>
      <c r="E44" s="26"/>
      <c r="F44" s="26"/>
    </row>
    <row r="45" spans="1:6" x14ac:dyDescent="0.25">
      <c r="A45" s="25" t="s">
        <v>29</v>
      </c>
      <c r="B45" s="26"/>
      <c r="C45" s="6"/>
      <c r="D45" s="26" t="s">
        <v>64</v>
      </c>
      <c r="E45" s="53" t="s">
        <v>221</v>
      </c>
      <c r="F45" s="26"/>
    </row>
    <row r="46" spans="1:6" x14ac:dyDescent="0.25">
      <c r="A46" s="18" t="s">
        <v>31</v>
      </c>
      <c r="B46" s="19">
        <f>B38</f>
        <v>99900.000090000001</v>
      </c>
      <c r="C46" s="20"/>
      <c r="D46" s="19">
        <f>D38</f>
        <v>99900.000090000001</v>
      </c>
      <c r="E46" s="19">
        <f>E38</f>
        <v>99900.000090000001</v>
      </c>
      <c r="F46" s="19">
        <f>F38</f>
        <v>99900.000090000001</v>
      </c>
    </row>
    <row r="47" spans="1:6" x14ac:dyDescent="0.25">
      <c r="A47" s="18" t="s">
        <v>32</v>
      </c>
      <c r="B47" s="19"/>
      <c r="C47" s="20"/>
      <c r="D47" s="19"/>
      <c r="E47" s="19"/>
      <c r="F47" s="19"/>
    </row>
    <row r="48" spans="1:6" x14ac:dyDescent="0.25">
      <c r="A48" s="22" t="s">
        <v>19</v>
      </c>
      <c r="B48" s="23"/>
      <c r="C48" s="24"/>
      <c r="D48" s="23">
        <v>20181.820200000002</v>
      </c>
      <c r="E48" s="23" t="s">
        <v>33</v>
      </c>
      <c r="F48" s="23" t="s">
        <v>33</v>
      </c>
    </row>
    <row r="49" spans="1:6" x14ac:dyDescent="0.25">
      <c r="A49" s="22" t="s">
        <v>23</v>
      </c>
      <c r="B49" s="23"/>
      <c r="C49" s="24"/>
      <c r="D49" s="23">
        <v>30272.730300000003</v>
      </c>
      <c r="E49" s="23" t="s">
        <v>33</v>
      </c>
      <c r="F49" s="23" t="s">
        <v>33</v>
      </c>
    </row>
    <row r="50" spans="1:6" x14ac:dyDescent="0.25">
      <c r="A50" s="22" t="s">
        <v>24</v>
      </c>
      <c r="B50" s="23"/>
      <c r="C50" s="24"/>
      <c r="D50" s="23">
        <v>50454.550500000005</v>
      </c>
      <c r="E50" s="23">
        <v>50454.550500000005</v>
      </c>
      <c r="F50" s="23">
        <v>50454.550500000005</v>
      </c>
    </row>
    <row r="51" spans="1:6" x14ac:dyDescent="0.25">
      <c r="A51" s="27" t="s">
        <v>34</v>
      </c>
      <c r="B51" s="28"/>
      <c r="C51" s="20"/>
      <c r="D51" s="28">
        <v>605454.55050000001</v>
      </c>
      <c r="E51" s="28">
        <v>605454.55050000001</v>
      </c>
      <c r="F51" s="28">
        <v>605454.55050000001</v>
      </c>
    </row>
    <row r="52" spans="1:6" x14ac:dyDescent="0.25">
      <c r="A52" s="29" t="s">
        <v>36</v>
      </c>
      <c r="B52" s="30"/>
      <c r="C52" s="1"/>
      <c r="D52" s="30"/>
      <c r="E52" s="30"/>
      <c r="F52" s="31"/>
    </row>
    <row r="53" spans="1:6" x14ac:dyDescent="0.25">
      <c r="A53" s="16" t="s">
        <v>37</v>
      </c>
      <c r="B53" s="17">
        <v>99500</v>
      </c>
      <c r="C53" s="1"/>
      <c r="D53" s="17">
        <f>50000*100.909091%</f>
        <v>50454.5455</v>
      </c>
      <c r="E53" s="17">
        <f>40000*100.909091%</f>
        <v>40363.636400000003</v>
      </c>
      <c r="F53" s="17">
        <f>59000*100.909091%</f>
        <v>59536.363690000006</v>
      </c>
    </row>
    <row r="54" spans="1:6" x14ac:dyDescent="0.25">
      <c r="A54" s="18" t="s">
        <v>38</v>
      </c>
      <c r="B54" s="19">
        <v>600000</v>
      </c>
      <c r="C54" s="20"/>
      <c r="D54" s="19">
        <f>600000*100.909091%</f>
        <v>605454.54600000009</v>
      </c>
      <c r="E54" s="19">
        <f>400000*100.909091%</f>
        <v>403636.364</v>
      </c>
      <c r="F54" s="19">
        <f>590000*100.909091%</f>
        <v>595363.63690000004</v>
      </c>
    </row>
    <row r="55" spans="1:6" x14ac:dyDescent="0.25">
      <c r="A55" s="18" t="s">
        <v>39</v>
      </c>
      <c r="B55" s="17"/>
      <c r="C55" s="1"/>
      <c r="D55" s="23" t="s">
        <v>22</v>
      </c>
      <c r="E55" s="23" t="s">
        <v>22</v>
      </c>
      <c r="F55" s="23" t="s">
        <v>22</v>
      </c>
    </row>
    <row r="56" spans="1:6" x14ac:dyDescent="0.25">
      <c r="A56" s="25" t="s">
        <v>40</v>
      </c>
      <c r="B56" s="26"/>
      <c r="C56" s="6"/>
      <c r="D56" s="26"/>
      <c r="E56" s="26"/>
      <c r="F56" s="26"/>
    </row>
    <row r="57" spans="1:6" x14ac:dyDescent="0.25">
      <c r="A57" s="25" t="s">
        <v>41</v>
      </c>
      <c r="B57" s="26"/>
      <c r="C57" s="6"/>
      <c r="D57" s="26"/>
      <c r="E57" s="26"/>
      <c r="F57" s="26"/>
    </row>
    <row r="58" spans="1:6" x14ac:dyDescent="0.25">
      <c r="A58" s="16" t="s">
        <v>31</v>
      </c>
      <c r="B58" s="17">
        <v>99000</v>
      </c>
      <c r="C58" s="1"/>
      <c r="D58" s="17">
        <f>D53</f>
        <v>50454.5455</v>
      </c>
      <c r="E58" s="17">
        <f>E53</f>
        <v>40363.636400000003</v>
      </c>
      <c r="F58" s="17">
        <f>F53</f>
        <v>59536.363690000006</v>
      </c>
    </row>
    <row r="59" spans="1:6" x14ac:dyDescent="0.25">
      <c r="A59" s="16" t="s">
        <v>42</v>
      </c>
      <c r="B59" s="17"/>
      <c r="C59" s="1"/>
      <c r="D59" s="23"/>
      <c r="E59" s="23"/>
      <c r="F59" s="23"/>
    </row>
    <row r="60" spans="1:6" x14ac:dyDescent="0.25">
      <c r="A60" s="22" t="s">
        <v>43</v>
      </c>
      <c r="B60" s="23"/>
      <c r="C60" s="24"/>
      <c r="D60" s="23" t="s">
        <v>22</v>
      </c>
      <c r="E60" s="23" t="s">
        <v>22</v>
      </c>
      <c r="F60" s="23" t="s">
        <v>22</v>
      </c>
    </row>
    <row r="61" spans="1:6" x14ac:dyDescent="0.25">
      <c r="A61" s="22" t="s">
        <v>44</v>
      </c>
      <c r="B61" s="23"/>
      <c r="C61" s="24"/>
      <c r="D61" s="23" t="s">
        <v>22</v>
      </c>
      <c r="E61" s="23" t="s">
        <v>22</v>
      </c>
      <c r="F61" s="23" t="s">
        <v>22</v>
      </c>
    </row>
    <row r="62" spans="1:6" x14ac:dyDescent="0.25">
      <c r="A62" s="22" t="s">
        <v>45</v>
      </c>
      <c r="B62" s="23"/>
      <c r="C62" s="24"/>
      <c r="D62" s="23">
        <v>50454.550500000005</v>
      </c>
      <c r="E62" s="23">
        <v>50454.550500000005</v>
      </c>
      <c r="F62" s="23">
        <v>50454.550500000005</v>
      </c>
    </row>
    <row r="63" spans="1:6" x14ac:dyDescent="0.25">
      <c r="A63" s="1"/>
      <c r="B63" s="2"/>
      <c r="C63" s="1"/>
      <c r="D63" s="2"/>
      <c r="E63" s="2"/>
      <c r="F63" s="2"/>
    </row>
    <row r="64" spans="1:6" x14ac:dyDescent="0.25">
      <c r="A64" s="1"/>
      <c r="B64" s="7" t="s">
        <v>1</v>
      </c>
      <c r="C64" s="1"/>
      <c r="D64" s="96" t="s">
        <v>72</v>
      </c>
      <c r="E64" s="97"/>
      <c r="F64" s="98"/>
    </row>
    <row r="65" spans="1:6" x14ac:dyDescent="0.25">
      <c r="A65" s="9" t="s">
        <v>3</v>
      </c>
      <c r="B65" s="10" t="s">
        <v>223</v>
      </c>
      <c r="C65" s="1"/>
      <c r="D65" s="10" t="s">
        <v>5</v>
      </c>
      <c r="E65" s="10" t="s">
        <v>6</v>
      </c>
      <c r="F65" s="10" t="s">
        <v>7</v>
      </c>
    </row>
    <row r="66" spans="1:6" x14ac:dyDescent="0.25">
      <c r="A66" s="12" t="s">
        <v>9</v>
      </c>
      <c r="B66" s="13"/>
      <c r="C66" s="1"/>
      <c r="D66" s="99" t="s">
        <v>74</v>
      </c>
      <c r="E66" s="100"/>
      <c r="F66" s="101"/>
    </row>
    <row r="67" spans="1:6" x14ac:dyDescent="0.25">
      <c r="A67" s="14" t="s">
        <v>11</v>
      </c>
      <c r="B67" s="15"/>
      <c r="C67" s="1"/>
      <c r="D67" s="15" t="s">
        <v>76</v>
      </c>
      <c r="E67" s="15" t="s">
        <v>86</v>
      </c>
      <c r="F67" s="15" t="s">
        <v>127</v>
      </c>
    </row>
    <row r="68" spans="1:6" x14ac:dyDescent="0.25">
      <c r="A68" s="16" t="s">
        <v>16</v>
      </c>
      <c r="B68" s="17">
        <f>99000*100.909091%</f>
        <v>99900.000090000001</v>
      </c>
      <c r="C68" s="1"/>
      <c r="D68" s="17">
        <f>99000*100.909091%</f>
        <v>99900.000090000001</v>
      </c>
      <c r="E68" s="17">
        <f>99000*100.909091%</f>
        <v>99900.000090000001</v>
      </c>
      <c r="F68" s="17">
        <f>59000*100.909091%</f>
        <v>59536.363690000006</v>
      </c>
    </row>
    <row r="69" spans="1:6" x14ac:dyDescent="0.25">
      <c r="A69" s="18" t="s">
        <v>17</v>
      </c>
      <c r="B69" s="19">
        <f>750000*100.909091%</f>
        <v>756818.1825</v>
      </c>
      <c r="C69" s="20"/>
      <c r="D69" s="19">
        <f>750000*100.909091%</f>
        <v>756818.1825</v>
      </c>
      <c r="E69" s="19">
        <f>420000*100.909091%</f>
        <v>423818.18220000004</v>
      </c>
      <c r="F69" s="19">
        <f>295000*100.909091%</f>
        <v>297681.81845000002</v>
      </c>
    </row>
    <row r="70" spans="1:6" x14ac:dyDescent="0.25">
      <c r="A70" s="18" t="s">
        <v>18</v>
      </c>
      <c r="B70" s="19"/>
      <c r="C70" s="20"/>
      <c r="D70" s="19"/>
      <c r="E70" s="19"/>
      <c r="F70" s="19"/>
    </row>
    <row r="71" spans="1:6" x14ac:dyDescent="0.25">
      <c r="A71" s="22" t="s">
        <v>19</v>
      </c>
      <c r="B71" s="23"/>
      <c r="C71" s="24"/>
      <c r="D71" s="23" t="s">
        <v>22</v>
      </c>
      <c r="E71" s="23" t="s">
        <v>22</v>
      </c>
      <c r="F71" s="23" t="s">
        <v>77</v>
      </c>
    </row>
    <row r="72" spans="1:6" x14ac:dyDescent="0.25">
      <c r="A72" s="22" t="s">
        <v>23</v>
      </c>
      <c r="B72" s="23"/>
      <c r="C72" s="24"/>
      <c r="D72" s="23" t="s">
        <v>22</v>
      </c>
      <c r="E72" s="23" t="s">
        <v>22</v>
      </c>
      <c r="F72" s="23" t="s">
        <v>77</v>
      </c>
    </row>
    <row r="73" spans="1:6" x14ac:dyDescent="0.25">
      <c r="A73" s="22" t="s">
        <v>24</v>
      </c>
      <c r="B73" s="23"/>
      <c r="C73" s="24"/>
      <c r="D73" s="23">
        <v>504544.95000000007</v>
      </c>
      <c r="E73" s="23">
        <v>252272.73030000002</v>
      </c>
      <c r="F73" s="23">
        <v>504544.95000000007</v>
      </c>
    </row>
    <row r="74" spans="1:6" x14ac:dyDescent="0.25">
      <c r="A74" s="25" t="s">
        <v>26</v>
      </c>
      <c r="B74" s="26"/>
      <c r="C74" s="6"/>
      <c r="D74" s="26"/>
      <c r="E74" s="26"/>
      <c r="F74" s="26"/>
    </row>
    <row r="75" spans="1:6" x14ac:dyDescent="0.25">
      <c r="A75" s="25" t="s">
        <v>29</v>
      </c>
      <c r="B75" s="26"/>
      <c r="C75" s="6"/>
      <c r="D75" s="53" t="s">
        <v>221</v>
      </c>
      <c r="E75" s="53" t="s">
        <v>123</v>
      </c>
      <c r="F75" s="26"/>
    </row>
    <row r="76" spans="1:6" x14ac:dyDescent="0.25">
      <c r="A76" s="18" t="s">
        <v>31</v>
      </c>
      <c r="B76" s="19">
        <v>99000</v>
      </c>
      <c r="C76" s="20"/>
      <c r="D76" s="19">
        <f>99000*100.909091%</f>
        <v>99900.000090000001</v>
      </c>
      <c r="E76" s="19">
        <f>99000*100.909091%</f>
        <v>99900.000090000001</v>
      </c>
      <c r="F76" s="46">
        <f>F68</f>
        <v>59536.363690000006</v>
      </c>
    </row>
    <row r="77" spans="1:6" x14ac:dyDescent="0.25">
      <c r="A77" s="18" t="s">
        <v>32</v>
      </c>
      <c r="B77" s="19"/>
      <c r="C77" s="20"/>
      <c r="D77" s="19"/>
      <c r="E77" s="19"/>
      <c r="F77" s="19"/>
    </row>
    <row r="78" spans="1:6" x14ac:dyDescent="0.25">
      <c r="A78" s="22" t="s">
        <v>19</v>
      </c>
      <c r="B78" s="23"/>
      <c r="C78" s="24"/>
      <c r="D78" s="23" t="s">
        <v>33</v>
      </c>
      <c r="E78" s="23" t="s">
        <v>33</v>
      </c>
      <c r="F78" s="23" t="s">
        <v>33</v>
      </c>
    </row>
    <row r="79" spans="1:6" x14ac:dyDescent="0.25">
      <c r="A79" s="22" t="s">
        <v>23</v>
      </c>
      <c r="B79" s="23"/>
      <c r="C79" s="24"/>
      <c r="D79" s="23" t="s">
        <v>33</v>
      </c>
      <c r="E79" s="23" t="s">
        <v>33</v>
      </c>
      <c r="F79" s="23" t="s">
        <v>33</v>
      </c>
    </row>
    <row r="80" spans="1:6" x14ac:dyDescent="0.25">
      <c r="A80" s="22" t="s">
        <v>24</v>
      </c>
      <c r="B80" s="23"/>
      <c r="C80" s="24"/>
      <c r="D80" s="23">
        <v>50454.550500000005</v>
      </c>
      <c r="E80" s="23">
        <v>50454.550500000005</v>
      </c>
      <c r="F80" s="23">
        <v>50454.550500000005</v>
      </c>
    </row>
    <row r="81" spans="1:6" x14ac:dyDescent="0.25">
      <c r="A81" s="27" t="s">
        <v>34</v>
      </c>
      <c r="B81" s="28"/>
      <c r="C81" s="20"/>
      <c r="D81" s="28">
        <v>605454.55050000001</v>
      </c>
      <c r="E81" s="28">
        <v>302727.19200000004</v>
      </c>
      <c r="F81" s="28">
        <v>302727.19200000004</v>
      </c>
    </row>
    <row r="82" spans="1:6" x14ac:dyDescent="0.25">
      <c r="A82" s="29" t="s">
        <v>36</v>
      </c>
      <c r="B82" s="30"/>
      <c r="C82" s="1"/>
      <c r="D82" s="30"/>
      <c r="E82" s="30"/>
      <c r="F82" s="31"/>
    </row>
    <row r="83" spans="1:6" x14ac:dyDescent="0.25">
      <c r="A83" s="16" t="s">
        <v>37</v>
      </c>
      <c r="B83" s="17">
        <v>40000</v>
      </c>
      <c r="C83" s="1"/>
      <c r="D83" s="17">
        <f>40000*100.909091%</f>
        <v>40363.636400000003</v>
      </c>
      <c r="E83" s="17">
        <f>40000*100.909091%</f>
        <v>40363.636400000003</v>
      </c>
      <c r="F83" s="17">
        <f>59000*100.909091%</f>
        <v>59536.363690000006</v>
      </c>
    </row>
    <row r="84" spans="1:6" x14ac:dyDescent="0.25">
      <c r="A84" s="18" t="s">
        <v>38</v>
      </c>
      <c r="B84" s="19">
        <v>400000</v>
      </c>
      <c r="C84" s="20"/>
      <c r="D84" s="19">
        <f>400000*100.909091%</f>
        <v>403636.364</v>
      </c>
      <c r="E84" s="19">
        <f>200000*100.909091%</f>
        <v>201818.182</v>
      </c>
      <c r="F84" s="19">
        <f>295000*100.909091%</f>
        <v>297681.81845000002</v>
      </c>
    </row>
    <row r="85" spans="1:6" x14ac:dyDescent="0.25">
      <c r="A85" s="18" t="s">
        <v>39</v>
      </c>
      <c r="B85" s="17"/>
      <c r="C85" s="1"/>
      <c r="D85" s="23" t="s">
        <v>22</v>
      </c>
      <c r="E85" s="23" t="s">
        <v>22</v>
      </c>
      <c r="F85" s="23" t="s">
        <v>22</v>
      </c>
    </row>
    <row r="86" spans="1:6" x14ac:dyDescent="0.25">
      <c r="A86" s="25" t="s">
        <v>40</v>
      </c>
      <c r="B86" s="26"/>
      <c r="C86" s="6"/>
      <c r="D86" s="26"/>
      <c r="E86" s="26"/>
      <c r="F86" s="26"/>
    </row>
    <row r="87" spans="1:6" x14ac:dyDescent="0.25">
      <c r="A87" s="25" t="s">
        <v>41</v>
      </c>
      <c r="B87" s="26"/>
      <c r="C87" s="6"/>
      <c r="D87" s="26"/>
      <c r="E87" s="26"/>
      <c r="F87" s="26"/>
    </row>
    <row r="88" spans="1:6" x14ac:dyDescent="0.25">
      <c r="A88" s="16" t="s">
        <v>31</v>
      </c>
      <c r="B88" s="17">
        <f>B83</f>
        <v>40000</v>
      </c>
      <c r="C88" s="1"/>
      <c r="D88" s="17">
        <f>D83</f>
        <v>40363.636400000003</v>
      </c>
      <c r="E88" s="17">
        <f>E83</f>
        <v>40363.636400000003</v>
      </c>
      <c r="F88" s="17">
        <f>F83</f>
        <v>59536.363690000006</v>
      </c>
    </row>
    <row r="89" spans="1:6" x14ac:dyDescent="0.25">
      <c r="A89" s="16" t="s">
        <v>42</v>
      </c>
      <c r="B89" s="17"/>
      <c r="C89" s="1"/>
      <c r="D89" s="23"/>
      <c r="E89" s="23"/>
      <c r="F89" s="23"/>
    </row>
    <row r="90" spans="1:6" x14ac:dyDescent="0.25">
      <c r="A90" s="22" t="s">
        <v>43</v>
      </c>
      <c r="B90" s="23"/>
      <c r="C90" s="24"/>
      <c r="D90" s="23" t="s">
        <v>22</v>
      </c>
      <c r="E90" s="23" t="s">
        <v>22</v>
      </c>
      <c r="F90" s="23" t="s">
        <v>22</v>
      </c>
    </row>
    <row r="91" spans="1:6" x14ac:dyDescent="0.25">
      <c r="A91" s="22" t="s">
        <v>44</v>
      </c>
      <c r="B91" s="23"/>
      <c r="C91" s="24"/>
      <c r="D91" s="23" t="s">
        <v>22</v>
      </c>
      <c r="E91" s="23" t="s">
        <v>22</v>
      </c>
      <c r="F91" s="23" t="s">
        <v>22</v>
      </c>
    </row>
    <row r="92" spans="1:6" x14ac:dyDescent="0.25">
      <c r="A92" s="22" t="s">
        <v>45</v>
      </c>
      <c r="B92" s="23"/>
      <c r="C92" s="24"/>
      <c r="D92" s="23">
        <v>50454.550500000005</v>
      </c>
      <c r="E92" s="23">
        <v>50454.550500000005</v>
      </c>
      <c r="F92" s="23">
        <v>50454.550500000005</v>
      </c>
    </row>
    <row r="93" spans="1:6" x14ac:dyDescent="0.25">
      <c r="A93" s="1"/>
      <c r="B93" s="2"/>
      <c r="C93" s="1"/>
      <c r="D93" s="2"/>
      <c r="E93" s="2"/>
      <c r="F93" s="2"/>
    </row>
    <row r="94" spans="1:6" x14ac:dyDescent="0.25">
      <c r="A94" s="1"/>
      <c r="B94" s="2"/>
      <c r="C94" s="1"/>
      <c r="D94" s="2"/>
      <c r="E94" s="2"/>
      <c r="F94" s="2"/>
    </row>
    <row r="95" spans="1:6" x14ac:dyDescent="0.25">
      <c r="A95" s="1"/>
      <c r="B95" s="2"/>
      <c r="C95" s="1"/>
      <c r="D95" s="2"/>
      <c r="E95" s="2"/>
      <c r="F95" s="2"/>
    </row>
    <row r="96" spans="1:6" x14ac:dyDescent="0.25">
      <c r="A96" s="1"/>
      <c r="B96" s="2"/>
      <c r="C96" s="1"/>
      <c r="D96" s="2"/>
      <c r="E96" s="2"/>
      <c r="F96" s="2"/>
    </row>
    <row r="97" spans="1:6" x14ac:dyDescent="0.25">
      <c r="A97" s="1"/>
      <c r="B97" s="2"/>
      <c r="C97" s="1"/>
      <c r="D97" s="2"/>
      <c r="E97" s="2"/>
      <c r="F97" s="2"/>
    </row>
    <row r="98" spans="1:6" x14ac:dyDescent="0.25">
      <c r="A98" s="1"/>
      <c r="B98" s="2"/>
      <c r="C98" s="1"/>
      <c r="D98" s="2"/>
      <c r="E98" s="2"/>
      <c r="F98" s="2"/>
    </row>
    <row r="99" spans="1:6" x14ac:dyDescent="0.25">
      <c r="A99" s="1"/>
      <c r="B99" s="2"/>
      <c r="C99" s="1"/>
      <c r="D99" s="2"/>
      <c r="E99" s="2"/>
      <c r="F99" s="2"/>
    </row>
    <row r="100" spans="1:6" x14ac:dyDescent="0.25">
      <c r="A100" s="1"/>
      <c r="B100" s="2"/>
      <c r="C100" s="1"/>
      <c r="D100" s="2"/>
      <c r="E100" s="2"/>
      <c r="F100" s="2"/>
    </row>
    <row r="101" spans="1:6" x14ac:dyDescent="0.25">
      <c r="A101" s="1"/>
      <c r="B101" s="2"/>
      <c r="C101" s="1"/>
      <c r="D101" s="2"/>
      <c r="E101" s="2"/>
      <c r="F101" s="2"/>
    </row>
    <row r="102" spans="1:6" x14ac:dyDescent="0.25">
      <c r="A102" s="1"/>
      <c r="B102" s="2"/>
      <c r="C102" s="1"/>
      <c r="D102" s="2"/>
      <c r="E102" s="2"/>
      <c r="F102" s="2"/>
    </row>
    <row r="103" spans="1:6" x14ac:dyDescent="0.25">
      <c r="A103" s="1"/>
      <c r="B103" s="2"/>
      <c r="C103" s="1"/>
      <c r="D103" s="2"/>
      <c r="E103" s="2"/>
      <c r="F103" s="2"/>
    </row>
    <row r="104" spans="1:6" x14ac:dyDescent="0.25">
      <c r="A104" s="1"/>
      <c r="B104" s="2"/>
      <c r="C104" s="1"/>
      <c r="D104" s="2"/>
      <c r="E104" s="2"/>
      <c r="F104" s="2"/>
    </row>
    <row r="105" spans="1:6" x14ac:dyDescent="0.25">
      <c r="A105" s="1"/>
      <c r="B105" s="2"/>
      <c r="C105" s="1"/>
      <c r="D105" s="2"/>
      <c r="E105" s="2"/>
      <c r="F105" s="2"/>
    </row>
    <row r="106" spans="1:6" x14ac:dyDescent="0.25">
      <c r="A106" s="1"/>
      <c r="B106" s="2"/>
      <c r="C106" s="1"/>
      <c r="D106" s="2"/>
      <c r="E106" s="2"/>
      <c r="F106" s="2"/>
    </row>
    <row r="107" spans="1:6" x14ac:dyDescent="0.25">
      <c r="A107" s="1"/>
      <c r="B107" s="2"/>
      <c r="C107" s="1"/>
      <c r="D107" s="2"/>
      <c r="E107" s="2"/>
      <c r="F107" s="2"/>
    </row>
    <row r="108" spans="1:6" x14ac:dyDescent="0.25">
      <c r="A108" s="1"/>
      <c r="B108" s="2"/>
      <c r="C108" s="1"/>
      <c r="D108" s="2"/>
      <c r="E108" s="2"/>
      <c r="F108" s="2"/>
    </row>
    <row r="109" spans="1:6" x14ac:dyDescent="0.25">
      <c r="A109" s="1"/>
      <c r="B109" s="2"/>
      <c r="C109" s="1"/>
      <c r="D109" s="2"/>
      <c r="E109" s="2"/>
      <c r="F109" s="2"/>
    </row>
    <row r="110" spans="1:6" x14ac:dyDescent="0.25">
      <c r="A110" s="1"/>
      <c r="B110" s="2"/>
      <c r="C110" s="1"/>
      <c r="D110" s="2"/>
      <c r="E110" s="2"/>
      <c r="F110" s="2"/>
    </row>
    <row r="111" spans="1:6" x14ac:dyDescent="0.25">
      <c r="A111" s="1"/>
      <c r="B111" s="2"/>
      <c r="C111" s="1"/>
      <c r="D111" s="2"/>
      <c r="E111" s="2"/>
      <c r="F111" s="2"/>
    </row>
    <row r="112" spans="1:6" x14ac:dyDescent="0.25">
      <c r="A112" s="1"/>
      <c r="B112" s="2"/>
      <c r="C112" s="1"/>
      <c r="D112" s="2"/>
      <c r="E112" s="2"/>
      <c r="F112" s="2"/>
    </row>
    <row r="113" spans="1:6" x14ac:dyDescent="0.25">
      <c r="A113" s="1"/>
      <c r="B113" s="2"/>
      <c r="C113" s="1"/>
      <c r="D113" s="2"/>
      <c r="E113" s="2"/>
      <c r="F113" s="2"/>
    </row>
    <row r="114" spans="1:6" x14ac:dyDescent="0.25">
      <c r="A114" s="1"/>
      <c r="B114" s="2"/>
      <c r="C114" s="1"/>
      <c r="D114" s="2"/>
      <c r="E114" s="2"/>
      <c r="F114" s="2"/>
    </row>
    <row r="115" spans="1:6" x14ac:dyDescent="0.25">
      <c r="A115" s="1"/>
      <c r="B115" s="2"/>
      <c r="C115" s="1"/>
      <c r="D115" s="2"/>
      <c r="E115" s="2"/>
      <c r="F115" s="2"/>
    </row>
    <row r="116" spans="1:6" x14ac:dyDescent="0.25">
      <c r="A116" s="1"/>
      <c r="B116" s="2"/>
      <c r="C116" s="1"/>
      <c r="D116" s="2"/>
      <c r="E116" s="2"/>
      <c r="F116" s="2"/>
    </row>
    <row r="117" spans="1:6" x14ac:dyDescent="0.25">
      <c r="A117" s="1"/>
      <c r="B117" s="2"/>
      <c r="C117" s="1"/>
      <c r="D117" s="2"/>
      <c r="E117" s="2"/>
      <c r="F117" s="2"/>
    </row>
    <row r="118" spans="1:6" x14ac:dyDescent="0.25">
      <c r="A118" s="1"/>
      <c r="B118" s="2"/>
      <c r="C118" s="1"/>
      <c r="D118" s="2"/>
      <c r="E118" s="2"/>
      <c r="F118" s="2"/>
    </row>
    <row r="119" spans="1:6" x14ac:dyDescent="0.25">
      <c r="A119" s="1"/>
      <c r="B119" s="2"/>
      <c r="C119" s="1"/>
      <c r="D119" s="2"/>
      <c r="E119" s="2"/>
      <c r="F119" s="2"/>
    </row>
    <row r="120" spans="1:6" x14ac:dyDescent="0.25">
      <c r="A120" s="1"/>
      <c r="B120" s="2"/>
      <c r="C120" s="1"/>
      <c r="D120" s="2"/>
      <c r="E120" s="2"/>
      <c r="F120" s="2"/>
    </row>
    <row r="121" spans="1:6" x14ac:dyDescent="0.25">
      <c r="A121" s="1"/>
      <c r="B121" s="2"/>
      <c r="C121" s="1"/>
      <c r="D121" s="2"/>
      <c r="E121" s="2"/>
      <c r="F121" s="2"/>
    </row>
    <row r="122" spans="1:6" x14ac:dyDescent="0.25">
      <c r="A122" s="1"/>
      <c r="B122" s="2"/>
      <c r="C122" s="1"/>
      <c r="D122" s="2"/>
      <c r="E122" s="2"/>
      <c r="F122" s="2"/>
    </row>
    <row r="123" spans="1:6" x14ac:dyDescent="0.25">
      <c r="A123" s="1"/>
      <c r="B123" s="2"/>
      <c r="C123" s="1"/>
      <c r="D123" s="2"/>
      <c r="E123" s="2"/>
      <c r="F123" s="2"/>
    </row>
    <row r="124" spans="1:6" x14ac:dyDescent="0.25">
      <c r="A124" s="1"/>
      <c r="B124" s="2"/>
      <c r="C124" s="1"/>
      <c r="D124" s="2"/>
      <c r="E124" s="2"/>
      <c r="F124" s="2"/>
    </row>
    <row r="125" spans="1:6" x14ac:dyDescent="0.25">
      <c r="A125" s="1"/>
      <c r="B125" s="2"/>
      <c r="C125" s="1"/>
      <c r="D125" s="2"/>
      <c r="E125" s="2"/>
      <c r="F125" s="2"/>
    </row>
    <row r="126" spans="1:6" x14ac:dyDescent="0.25">
      <c r="A126" s="1"/>
      <c r="B126" s="2"/>
      <c r="C126" s="1"/>
      <c r="D126" s="2"/>
      <c r="E126" s="2"/>
      <c r="F126" s="2"/>
    </row>
  </sheetData>
  <sheetProtection algorithmName="SHA-512" hashValue="P8/LLPeOurVQz8UTjuYSA6APgxGId1EFDfrrCspXXq0cmJQpbdlgiEtaf53cm2QNKYzijfyiduQa3OC0q/fn7w==" saltValue="fGqqOYEOvHsNcbGhb9o8Uw==" spinCount="100000" sheet="1" objects="1" scenarios="1"/>
  <mergeCells count="6">
    <mergeCell ref="D66:F66"/>
    <mergeCell ref="D4:F4"/>
    <mergeCell ref="D6:E6"/>
    <mergeCell ref="D34:F34"/>
    <mergeCell ref="E36:F36"/>
    <mergeCell ref="D64:F6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showGridLines="0" zoomScale="80" zoomScaleNormal="80" workbookViewId="0">
      <selection activeCell="B4" sqref="B4"/>
    </sheetView>
  </sheetViews>
  <sheetFormatPr defaultRowHeight="15" x14ac:dyDescent="0.25"/>
  <cols>
    <col min="1" max="1" width="57.28515625" customWidth="1"/>
    <col min="2" max="2" width="32.28515625" customWidth="1"/>
    <col min="3" max="3" width="2.28515625" customWidth="1"/>
    <col min="4" max="4" width="36.85546875" customWidth="1"/>
    <col min="5" max="6" width="31.28515625" bestFit="1" customWidth="1"/>
    <col min="18" max="18" width="31.28515625" bestFit="1" customWidth="1"/>
    <col min="19" max="19" width="30.85546875" bestFit="1" customWidth="1"/>
  </cols>
  <sheetData>
    <row r="2" spans="1:19" ht="21" x14ac:dyDescent="0.35">
      <c r="A2" s="93" t="s">
        <v>232</v>
      </c>
    </row>
    <row r="4" spans="1:19" x14ac:dyDescent="0.25">
      <c r="A4" s="1"/>
      <c r="B4" s="7" t="s">
        <v>1</v>
      </c>
      <c r="C4" s="1"/>
      <c r="D4" s="96" t="s">
        <v>2</v>
      </c>
      <c r="E4" s="97"/>
      <c r="F4" s="9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95" t="s">
        <v>72</v>
      </c>
      <c r="S4" s="95" t="s">
        <v>72</v>
      </c>
    </row>
    <row r="5" spans="1:19" x14ac:dyDescent="0.25">
      <c r="A5" s="9" t="s">
        <v>3</v>
      </c>
      <c r="B5" s="32" t="s">
        <v>226</v>
      </c>
      <c r="C5" s="1"/>
      <c r="D5" s="10" t="s">
        <v>5</v>
      </c>
      <c r="E5" s="10" t="s">
        <v>6</v>
      </c>
      <c r="F5" s="10" t="s">
        <v>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0" t="s">
        <v>5</v>
      </c>
      <c r="S5" s="10" t="s">
        <v>6</v>
      </c>
    </row>
    <row r="6" spans="1:19" x14ac:dyDescent="0.25">
      <c r="A6" s="12" t="s">
        <v>9</v>
      </c>
      <c r="B6" s="13"/>
      <c r="C6" s="1"/>
      <c r="D6" s="94" t="s">
        <v>229</v>
      </c>
      <c r="E6" s="94" t="s">
        <v>224</v>
      </c>
      <c r="F6" s="94" t="s">
        <v>120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4" t="s">
        <v>120</v>
      </c>
      <c r="S6" s="94" t="s">
        <v>120</v>
      </c>
    </row>
    <row r="7" spans="1:19" x14ac:dyDescent="0.25">
      <c r="A7" s="14" t="s">
        <v>11</v>
      </c>
      <c r="B7" s="15"/>
      <c r="C7" s="1"/>
      <c r="D7" s="15" t="s">
        <v>230</v>
      </c>
      <c r="E7" s="15" t="s">
        <v>228</v>
      </c>
      <c r="F7" s="15" t="s">
        <v>231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5" t="s">
        <v>225</v>
      </c>
      <c r="S7" s="15" t="s">
        <v>227</v>
      </c>
    </row>
    <row r="8" spans="1:19" x14ac:dyDescent="0.25">
      <c r="A8" s="16" t="s">
        <v>16</v>
      </c>
      <c r="B8" s="17">
        <v>12900</v>
      </c>
      <c r="C8" s="1"/>
      <c r="D8" s="17">
        <v>139000</v>
      </c>
      <c r="E8" s="17">
        <v>49000</v>
      </c>
      <c r="F8" s="17">
        <v>19900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7">
        <v>15900</v>
      </c>
      <c r="S8" s="17">
        <v>15900</v>
      </c>
    </row>
    <row r="9" spans="1:19" x14ac:dyDescent="0.25">
      <c r="A9" s="18" t="s">
        <v>17</v>
      </c>
      <c r="B9" s="19">
        <v>289000</v>
      </c>
      <c r="C9" s="20"/>
      <c r="D9" s="19">
        <v>1390000</v>
      </c>
      <c r="E9" s="19">
        <v>490000</v>
      </c>
      <c r="F9" s="19">
        <v>159000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9">
        <v>159000</v>
      </c>
      <c r="S9" s="19">
        <v>79900</v>
      </c>
    </row>
    <row r="10" spans="1:19" x14ac:dyDescent="0.25">
      <c r="A10" s="18" t="s">
        <v>18</v>
      </c>
      <c r="B10" s="19"/>
      <c r="C10" s="20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"/>
      <c r="S10" s="19"/>
    </row>
    <row r="11" spans="1:19" x14ac:dyDescent="0.25">
      <c r="A11" s="22" t="s">
        <v>19</v>
      </c>
      <c r="B11" s="23"/>
      <c r="C11" s="24"/>
      <c r="D11" s="23" t="s">
        <v>22</v>
      </c>
      <c r="E11" s="23" t="s">
        <v>22</v>
      </c>
      <c r="F11" s="23" t="s">
        <v>22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3" t="s">
        <v>21</v>
      </c>
      <c r="S11" s="23" t="s">
        <v>21</v>
      </c>
    </row>
    <row r="12" spans="1:19" x14ac:dyDescent="0.25">
      <c r="A12" s="22" t="s">
        <v>23</v>
      </c>
      <c r="B12" s="23"/>
      <c r="C12" s="24"/>
      <c r="D12" s="23" t="s">
        <v>22</v>
      </c>
      <c r="E12" s="23" t="s">
        <v>22</v>
      </c>
      <c r="F12" s="23" t="s">
        <v>22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3" t="s">
        <v>21</v>
      </c>
      <c r="S12" s="23" t="s">
        <v>21</v>
      </c>
    </row>
    <row r="13" spans="1:19" x14ac:dyDescent="0.25">
      <c r="A13" s="22" t="s">
        <v>24</v>
      </c>
      <c r="B13" s="23"/>
      <c r="C13" s="24"/>
      <c r="D13" s="23" t="s">
        <v>22</v>
      </c>
      <c r="E13" s="23" t="s">
        <v>22</v>
      </c>
      <c r="F13" s="23" t="s">
        <v>22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3">
        <v>302726.97000000003</v>
      </c>
      <c r="S13" s="23">
        <v>302726.97000000003</v>
      </c>
    </row>
    <row r="14" spans="1:19" x14ac:dyDescent="0.25">
      <c r="A14" s="25" t="s">
        <v>26</v>
      </c>
      <c r="B14" s="26"/>
      <c r="C14" s="6"/>
      <c r="D14" s="26" t="s">
        <v>27</v>
      </c>
      <c r="E14" s="26" t="s">
        <v>27</v>
      </c>
      <c r="F14" s="26" t="s">
        <v>27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6" t="s">
        <v>27</v>
      </c>
      <c r="S14" s="26" t="s">
        <v>155</v>
      </c>
    </row>
    <row r="15" spans="1:19" x14ac:dyDescent="0.25">
      <c r="A15" s="25" t="s">
        <v>29</v>
      </c>
      <c r="B15" s="26"/>
      <c r="C15" s="6"/>
      <c r="D15" s="26"/>
      <c r="E15" s="26"/>
      <c r="F15" s="2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26"/>
      <c r="S15" s="26"/>
    </row>
    <row r="16" spans="1:19" x14ac:dyDescent="0.25">
      <c r="A16" s="18" t="s">
        <v>31</v>
      </c>
      <c r="B16" s="19">
        <f>B8</f>
        <v>12900</v>
      </c>
      <c r="C16" s="20"/>
      <c r="D16" s="19">
        <f>D8</f>
        <v>139000</v>
      </c>
      <c r="E16" s="19">
        <f>E8</f>
        <v>49000</v>
      </c>
      <c r="F16" s="19">
        <f>F8</f>
        <v>19900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9">
        <f>R8</f>
        <v>15900</v>
      </c>
      <c r="S16" s="19">
        <f>S8</f>
        <v>15900</v>
      </c>
    </row>
    <row r="17" spans="1:19" x14ac:dyDescent="0.25">
      <c r="A17" s="18" t="s">
        <v>32</v>
      </c>
      <c r="B17" s="19"/>
      <c r="C17" s="20"/>
      <c r="D17" s="19"/>
      <c r="E17" s="19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9"/>
      <c r="S17" s="19"/>
    </row>
    <row r="18" spans="1:19" x14ac:dyDescent="0.25">
      <c r="A18" s="22" t="s">
        <v>19</v>
      </c>
      <c r="B18" s="23"/>
      <c r="C18" s="24"/>
      <c r="D18" s="23" t="s">
        <v>22</v>
      </c>
      <c r="E18" s="23" t="s">
        <v>22</v>
      </c>
      <c r="F18" s="23" t="s">
        <v>22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3" t="s">
        <v>22</v>
      </c>
      <c r="S18" s="23" t="s">
        <v>22</v>
      </c>
    </row>
    <row r="19" spans="1:19" x14ac:dyDescent="0.25">
      <c r="A19" s="22" t="s">
        <v>23</v>
      </c>
      <c r="B19" s="23"/>
      <c r="C19" s="24"/>
      <c r="D19" s="23" t="s">
        <v>22</v>
      </c>
      <c r="E19" s="23" t="s">
        <v>22</v>
      </c>
      <c r="F19" s="23" t="s">
        <v>22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 t="s">
        <v>22</v>
      </c>
      <c r="S19" s="23" t="s">
        <v>22</v>
      </c>
    </row>
    <row r="20" spans="1:19" x14ac:dyDescent="0.25">
      <c r="A20" s="22" t="s">
        <v>24</v>
      </c>
      <c r="B20" s="23"/>
      <c r="C20" s="24"/>
      <c r="D20" s="23" t="s">
        <v>22</v>
      </c>
      <c r="E20" s="23" t="s">
        <v>22</v>
      </c>
      <c r="F20" s="23" t="s">
        <v>22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3" t="s">
        <v>22</v>
      </c>
      <c r="S20" s="23" t="s">
        <v>22</v>
      </c>
    </row>
    <row r="21" spans="1:19" x14ac:dyDescent="0.25">
      <c r="A21" s="27" t="s">
        <v>34</v>
      </c>
      <c r="B21" s="28"/>
      <c r="C21" s="20"/>
      <c r="D21" s="28">
        <v>0</v>
      </c>
      <c r="E21" s="28">
        <v>0</v>
      </c>
      <c r="F21" s="28">
        <v>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8">
        <v>0</v>
      </c>
      <c r="S21" s="28">
        <v>0</v>
      </c>
    </row>
    <row r="22" spans="1:19" x14ac:dyDescent="0.25">
      <c r="A22" s="29" t="s">
        <v>36</v>
      </c>
      <c r="B22" s="30"/>
      <c r="C22" s="1"/>
      <c r="D22" s="30"/>
      <c r="E22" s="30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30"/>
      <c r="S22" s="30"/>
    </row>
    <row r="23" spans="1:19" x14ac:dyDescent="0.25">
      <c r="A23" s="16" t="s">
        <v>37</v>
      </c>
      <c r="B23" s="17">
        <v>12900</v>
      </c>
      <c r="C23" s="1"/>
      <c r="D23" s="17">
        <f t="shared" ref="D23:F23" si="0">D8</f>
        <v>139000</v>
      </c>
      <c r="E23" s="17">
        <f t="shared" si="0"/>
        <v>49000</v>
      </c>
      <c r="F23" s="17">
        <f t="shared" si="0"/>
        <v>19900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7">
        <f t="shared" ref="R23:S24" si="1">R8</f>
        <v>15900</v>
      </c>
      <c r="S23" s="17">
        <f t="shared" si="1"/>
        <v>15900</v>
      </c>
    </row>
    <row r="24" spans="1:19" x14ac:dyDescent="0.25">
      <c r="A24" s="18" t="s">
        <v>38</v>
      </c>
      <c r="B24" s="19">
        <v>289000</v>
      </c>
      <c r="C24" s="20"/>
      <c r="D24" s="19">
        <f t="shared" ref="D24:F24" si="2">D9</f>
        <v>1390000</v>
      </c>
      <c r="E24" s="19">
        <f t="shared" si="2"/>
        <v>490000</v>
      </c>
      <c r="F24" s="19">
        <f t="shared" si="2"/>
        <v>159000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9">
        <f t="shared" si="1"/>
        <v>159000</v>
      </c>
      <c r="S24" s="19">
        <f t="shared" si="1"/>
        <v>79900</v>
      </c>
    </row>
    <row r="25" spans="1:19" x14ac:dyDescent="0.25">
      <c r="A25" s="18" t="s">
        <v>39</v>
      </c>
      <c r="B25" s="17"/>
      <c r="C25" s="1"/>
      <c r="D25" s="23" t="s">
        <v>22</v>
      </c>
      <c r="E25" s="23" t="s">
        <v>22</v>
      </c>
      <c r="F25" s="23" t="s">
        <v>22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3" t="s">
        <v>22</v>
      </c>
      <c r="S25" s="23" t="s">
        <v>22</v>
      </c>
    </row>
    <row r="26" spans="1:19" x14ac:dyDescent="0.25">
      <c r="A26" s="25" t="s">
        <v>40</v>
      </c>
      <c r="B26" s="26"/>
      <c r="C26" s="6"/>
      <c r="D26" s="26"/>
      <c r="E26" s="26"/>
      <c r="F26" s="2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26"/>
      <c r="S26" s="26"/>
    </row>
    <row r="27" spans="1:19" x14ac:dyDescent="0.25">
      <c r="A27" s="25" t="s">
        <v>41</v>
      </c>
      <c r="B27" s="26"/>
      <c r="C27" s="6"/>
      <c r="D27" s="26"/>
      <c r="E27" s="26"/>
      <c r="F27" s="2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26"/>
      <c r="S27" s="26"/>
    </row>
    <row r="28" spans="1:19" x14ac:dyDescent="0.25">
      <c r="A28" s="16" t="s">
        <v>31</v>
      </c>
      <c r="B28" s="17">
        <v>12900</v>
      </c>
      <c r="C28" s="1"/>
      <c r="D28" s="17">
        <f>D23</f>
        <v>139000</v>
      </c>
      <c r="E28" s="17">
        <f>E23</f>
        <v>49000</v>
      </c>
      <c r="F28" s="17">
        <f>F23</f>
        <v>19900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7">
        <f>R23</f>
        <v>15900</v>
      </c>
      <c r="S28" s="17">
        <f>S23</f>
        <v>15900</v>
      </c>
    </row>
    <row r="29" spans="1:19" x14ac:dyDescent="0.25">
      <c r="A29" s="16" t="s">
        <v>42</v>
      </c>
      <c r="B29" s="17"/>
      <c r="C29" s="1"/>
      <c r="D29" s="23"/>
      <c r="E29" s="23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3"/>
      <c r="S29" s="23"/>
    </row>
    <row r="30" spans="1:19" x14ac:dyDescent="0.25">
      <c r="A30" s="22" t="s">
        <v>43</v>
      </c>
      <c r="B30" s="23"/>
      <c r="C30" s="24"/>
      <c r="D30" s="23" t="s">
        <v>22</v>
      </c>
      <c r="E30" s="23" t="s">
        <v>22</v>
      </c>
      <c r="F30" s="23" t="s">
        <v>22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3" t="s">
        <v>22</v>
      </c>
      <c r="S30" s="23" t="s">
        <v>22</v>
      </c>
    </row>
    <row r="31" spans="1:19" x14ac:dyDescent="0.25">
      <c r="A31" s="22" t="s">
        <v>44</v>
      </c>
      <c r="B31" s="23"/>
      <c r="C31" s="24"/>
      <c r="D31" s="23" t="s">
        <v>22</v>
      </c>
      <c r="E31" s="23" t="s">
        <v>22</v>
      </c>
      <c r="F31" s="23" t="s">
        <v>22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3" t="s">
        <v>22</v>
      </c>
      <c r="S31" s="23" t="s">
        <v>22</v>
      </c>
    </row>
    <row r="32" spans="1:19" x14ac:dyDescent="0.25">
      <c r="A32" s="22" t="s">
        <v>45</v>
      </c>
      <c r="B32" s="23"/>
      <c r="C32" s="24"/>
      <c r="D32" s="23" t="s">
        <v>22</v>
      </c>
      <c r="E32" s="23" t="s">
        <v>22</v>
      </c>
      <c r="F32" s="23" t="s">
        <v>22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3" t="s">
        <v>22</v>
      </c>
      <c r="S32" s="23" t="s">
        <v>22</v>
      </c>
    </row>
    <row r="33" spans="1:6" x14ac:dyDescent="0.25">
      <c r="A33" s="55"/>
      <c r="B33" s="56"/>
      <c r="C33" s="24"/>
      <c r="D33" s="56"/>
      <c r="E33" s="56"/>
      <c r="F33" s="56"/>
    </row>
    <row r="34" spans="1:6" x14ac:dyDescent="0.25">
      <c r="A34" s="1"/>
      <c r="B34" s="2"/>
      <c r="C34" s="1"/>
      <c r="D34" s="2"/>
    </row>
    <row r="35" spans="1:6" x14ac:dyDescent="0.25">
      <c r="A35" s="1"/>
      <c r="B35" s="2"/>
      <c r="C35" s="1"/>
      <c r="D35" s="2"/>
    </row>
    <row r="36" spans="1:6" x14ac:dyDescent="0.25">
      <c r="A36" s="1"/>
      <c r="B36" s="2"/>
      <c r="C36" s="1"/>
      <c r="D36" s="2"/>
    </row>
    <row r="37" spans="1:6" x14ac:dyDescent="0.25">
      <c r="A37" s="1"/>
      <c r="B37" s="2"/>
      <c r="C37" s="1"/>
      <c r="D37" s="2"/>
    </row>
    <row r="38" spans="1:6" x14ac:dyDescent="0.25">
      <c r="A38" s="1"/>
      <c r="B38" s="2"/>
      <c r="C38" s="1"/>
      <c r="D38" s="2"/>
    </row>
    <row r="39" spans="1:6" x14ac:dyDescent="0.25">
      <c r="A39" s="1"/>
      <c r="B39" s="2"/>
      <c r="C39" s="1"/>
      <c r="D39" s="2"/>
    </row>
    <row r="40" spans="1:6" x14ac:dyDescent="0.25">
      <c r="A40" s="1"/>
      <c r="B40" s="2"/>
      <c r="C40" s="1"/>
      <c r="D40" s="2"/>
    </row>
    <row r="41" spans="1:6" x14ac:dyDescent="0.25">
      <c r="A41" s="1"/>
      <c r="B41" s="2"/>
      <c r="C41" s="1"/>
      <c r="D41" s="2"/>
    </row>
    <row r="42" spans="1:6" x14ac:dyDescent="0.25">
      <c r="A42" s="1"/>
      <c r="B42" s="2"/>
      <c r="C42" s="1"/>
      <c r="D42" s="2"/>
    </row>
    <row r="43" spans="1:6" x14ac:dyDescent="0.25">
      <c r="A43" s="1"/>
      <c r="B43" s="2"/>
      <c r="C43" s="1"/>
      <c r="D43" s="2"/>
    </row>
    <row r="44" spans="1:6" x14ac:dyDescent="0.25">
      <c r="A44" s="1"/>
      <c r="B44" s="2"/>
      <c r="C44" s="1"/>
      <c r="D44" s="2"/>
    </row>
    <row r="45" spans="1:6" x14ac:dyDescent="0.25">
      <c r="A45" s="1"/>
      <c r="B45" s="2"/>
      <c r="C45" s="1"/>
      <c r="D45" s="2"/>
    </row>
    <row r="46" spans="1:6" x14ac:dyDescent="0.25">
      <c r="A46" s="1"/>
      <c r="B46" s="2"/>
      <c r="C46" s="1"/>
      <c r="D46" s="2"/>
    </row>
    <row r="47" spans="1:6" x14ac:dyDescent="0.25">
      <c r="A47" s="1"/>
      <c r="B47" s="2"/>
      <c r="C47" s="1"/>
      <c r="D47" s="2"/>
    </row>
    <row r="48" spans="1:6" x14ac:dyDescent="0.25">
      <c r="A48" s="1"/>
      <c r="B48" s="2"/>
      <c r="C48" s="1"/>
      <c r="D48" s="2"/>
    </row>
    <row r="49" spans="1:4" x14ac:dyDescent="0.25">
      <c r="A49" s="1"/>
      <c r="B49" s="2"/>
      <c r="C49" s="1"/>
      <c r="D49" s="2"/>
    </row>
    <row r="50" spans="1:4" x14ac:dyDescent="0.25">
      <c r="A50" s="1"/>
      <c r="B50" s="2"/>
      <c r="C50" s="1"/>
      <c r="D50" s="2"/>
    </row>
    <row r="51" spans="1:4" x14ac:dyDescent="0.25">
      <c r="A51" s="1"/>
      <c r="B51" s="2"/>
      <c r="C51" s="1"/>
      <c r="D51" s="2"/>
    </row>
    <row r="52" spans="1:4" x14ac:dyDescent="0.25">
      <c r="A52" s="1"/>
      <c r="B52" s="2"/>
      <c r="C52" s="1"/>
      <c r="D52" s="2"/>
    </row>
    <row r="53" spans="1:4" x14ac:dyDescent="0.25">
      <c r="A53" s="1"/>
      <c r="B53" s="2"/>
      <c r="C53" s="1"/>
      <c r="D53" s="2"/>
    </row>
  </sheetData>
  <sheetProtection algorithmName="SHA-512" hashValue="GSymCLYvFGMh3pKgMB8ihOLmmCCiBO+1FgLOAKkMOYVeGUOlokc0L/rwvQofpJzMhQISXosVHwX3ms2f/JTY0A==" saltValue="8DI1q5pJtEIkVCUcYKketQ==" spinCount="100000" sheet="1" objects="1" scenarios="1"/>
  <mergeCells count="1">
    <mergeCell ref="D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Renew Regular PM12</vt:lpstr>
      <vt:lpstr>Renew Regular PM6</vt:lpstr>
      <vt:lpstr>Renew Regular PM3</vt:lpstr>
      <vt:lpstr>Renew PM Retensi</vt:lpstr>
      <vt:lpstr>Downgrade non tiering Regular</vt:lpstr>
      <vt:lpstr>Renew UKM Villa tarif per STB</vt:lpstr>
      <vt:lpstr>Renew RD &amp; UKM tarif retail</vt:lpstr>
      <vt:lpstr>Renew PM DTH UKM SME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TRV_IMRAN</dc:creator>
  <cp:lastModifiedBy>TRV_IMRAN</cp:lastModifiedBy>
  <dcterms:created xsi:type="dcterms:W3CDTF">2024-10-31T04:29:09Z</dcterms:created>
  <dcterms:modified xsi:type="dcterms:W3CDTF">2025-06-08T15:02:00Z</dcterms:modified>
</cp:coreProperties>
</file>